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'Cash-Flow-2017-Leva'!$B$1:$T$141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<sst xmlns="http://schemas.openxmlformats.org/spreadsheetml/2006/main" count="524" uniqueCount="355">
  <si>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</si>
  <si>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</si>
  <si>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</si>
  <si>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</si>
  <si>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</si>
  <si>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</si>
  <si>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</si>
  <si>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</si>
  <si>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</si>
  <si>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</si>
  <si>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</si>
  <si>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</si>
  <si>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</si>
  <si>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</si>
  <si>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</si>
  <si>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</si>
  <si>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</si>
  <si>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</si>
  <si>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</si>
  <si>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</si>
  <si>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</si>
  <si>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</si>
  <si>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</si>
  <si>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</si>
  <si>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</si>
  <si>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</si>
  <si>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</si>
  <si>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</si>
  <si>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</si>
  <si>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</si>
  <si>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</si>
  <si>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</si>
  <si>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</si>
  <si>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</si>
  <si>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</si>
  <si>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</si>
  <si>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</si>
  <si>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</si>
  <si>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</si>
  <si>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</si>
  <si>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</si>
  <si>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</si>
  <si>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</si>
  <si>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</si>
  <si>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</si>
  <si>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</si>
  <si>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</si>
  <si>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</si>
  <si>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</si>
  <si>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</si>
  <si>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</si>
  <si>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</si>
  <si>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</si>
  <si>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</si>
  <si>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</si>
  <si>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</si>
  <si>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</si>
  <si>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</si>
  <si>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</si>
  <si>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</si>
  <si>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</si>
  <si>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</si>
  <si>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</si>
  <si>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</si>
  <si>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</si>
  <si>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</si>
  <si>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</si>
  <si>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</si>
  <si>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</si>
  <si>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</si>
  <si>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</si>
  <si>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</si>
  <si>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</si>
  <si>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</si>
  <si>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</si>
  <si>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</si>
  <si>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</si>
  <si>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</si>
  <si>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</si>
  <si>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</si>
  <si>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</si>
  <si>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</si>
  <si>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</si>
  <si>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</si>
  <si>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</si>
  <si>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</si>
  <si>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</si>
  <si>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</si>
  <si>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</si>
  <si>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</si>
  <si>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</si>
  <si>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</si>
  <si>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</si>
  <si>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</si>
  <si>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</si>
  <si>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</si>
  <si>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</si>
  <si>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</si>
  <si>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</si>
  <si>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</si>
  <si>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</si>
  <si>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</si>
  <si>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</si>
  <si>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</si>
  <si>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</si>
  <si>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</si>
  <si>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</si>
  <si>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</si>
  <si>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</si>
  <si>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</si>
  <si>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</si>
  <si>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</si>
  <si>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</si>
  <si>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</si>
  <si>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</si>
  <si>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</si>
  <si>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</si>
  <si>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</si>
  <si>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</si>
  <si>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</si>
  <si>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</si>
  <si>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</si>
  <si>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</si>
  <si>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</si>
  <si>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</si>
  <si>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</si>
  <si>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</si>
  <si>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</si>
  <si>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</si>
  <si>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</si>
  <si>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</si>
  <si>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</si>
  <si>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</si>
  <si>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</si>
  <si>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</si>
  <si>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</si>
  <si>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</si>
  <si>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</si>
  <si>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</si>
  <si>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</si>
  <si>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</si>
  <si>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</si>
  <si>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</si>
  <si>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</si>
  <si>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</si>
  <si>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</si>
  <si>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</si>
  <si>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</si>
  <si>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</si>
  <si>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</si>
  <si>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</si>
  <si>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</si>
  <si>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</si>
  <si>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</si>
  <si>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</si>
  <si>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</si>
  <si>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</si>
  <si>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</si>
  <si>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</si>
  <si>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</si>
  <si>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</si>
  <si>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</si>
  <si>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</si>
  <si>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</si>
  <si>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</si>
  <si>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</si>
  <si>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</si>
  <si>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</si>
  <si>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</si>
  <si>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</si>
  <si>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</si>
  <si>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</si>
  <si>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</si>
  <si>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</si>
  <si>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</si>
  <si>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</si>
  <si>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</si>
  <si>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</si>
  <si>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</si>
  <si>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</si>
  <si>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</si>
  <si>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</si>
  <si>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</si>
  <si>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</si>
  <si>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</si>
  <si>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</si>
  <si>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</si>
  <si>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</si>
  <si>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</si>
  <si>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</si>
  <si>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</si>
  <si>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</si>
  <si>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</si>
  <si>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</si>
  <si>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</si>
  <si>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</si>
  <si>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</si>
  <si>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</si>
  <si>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</si>
  <si>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</si>
  <si>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</si>
  <si>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</si>
  <si>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</si>
  <si>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</si>
  <si>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</si>
  <si>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</si>
  <si>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</si>
  <si>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</si>
  <si>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</si>
  <si>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</si>
  <si>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</si>
  <si>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</si>
  <si>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</si>
  <si>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</si>
  <si>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</si>
  <si>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</si>
  <si>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</si>
  <si>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</si>
  <si>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</si>
  <si>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</si>
  <si>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</si>
  <si>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</si>
  <si>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</si>
  <si>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</si>
  <si>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</si>
  <si>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</si>
  <si>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</si>
  <si>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</si>
  <si>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</si>
  <si>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</si>
  <si>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</si>
  <si>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</si>
  <si>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</si>
  <si>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</si>
  <si>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</si>
  <si>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</si>
  <si>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</si>
  <si>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</si>
  <si>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</si>
  <si>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</si>
  <si>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</si>
  <si>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</si>
  <si>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</si>
  <si>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</si>
  <si>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</si>
  <si>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</si>
  <si>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</si>
  <si>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</si>
  <si>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</si>
  <si>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</si>
  <si>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</si>
  <si>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</si>
  <si>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</si>
  <si>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</si>
  <si>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</si>
  <si>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</si>
  <si>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</si>
  <si>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</si>
  <si>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</si>
  <si>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</si>
  <si>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</si>
  <si>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</si>
  <si>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</si>
  <si>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</si>
  <si>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</si>
  <si>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</si>
  <si>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</si>
  <si>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</si>
  <si>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</si>
  <si>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</si>
  <si>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</si>
  <si>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</si>
  <si>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</si>
  <si>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</si>
  <si>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</si>
  <si>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</si>
  <si>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</si>
  <si>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</si>
  <si>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</si>
  <si>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</si>
  <si>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</si>
  <si>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</si>
  <si>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</si>
  <si>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</si>
  <si>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</si>
  <si>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</si>
  <si>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</si>
  <si>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</si>
  <si>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</si>
  <si>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</si>
  <si>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</si>
  <si>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</si>
  <si>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</si>
  <si>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</si>
  <si>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</si>
  <si>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</si>
  <si>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</si>
  <si>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</si>
  <si>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</si>
  <si>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</si>
  <si>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</si>
  <si>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</si>
  <si>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</si>
  <si>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</si>
  <si>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</si>
  <si>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</si>
  <si>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</si>
  <si>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</si>
  <si>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</si>
  <si>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</si>
  <si>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</si>
  <si>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</si>
  <si>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</si>
  <si>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</si>
  <si>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</si>
  <si>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</si>
  <si>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</si>
  <si>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</si>
  <si>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</si>
  <si>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</si>
  <si>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</si>
  <si>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</si>
  <si>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</si>
  <si>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</si>
  <si>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</si>
  <si>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</si>
  <si>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</si>
  <si>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</si>
  <si>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</si>
  <si>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</si>
  <si>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</si>
  <si>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</si>
  <si>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</si>
  <si>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</si>
  <si>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</si>
  <si>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</si>
  <si>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</si>
  <si>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</si>
  <si>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</si>
  <si>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</si>
  <si>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</si>
  <si>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</si>
  <si>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</si>
  <si>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</si>
  <si>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</si>
  <si>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</si>
  <si>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</si>
  <si>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</si>
  <si>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</si>
  <si>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</si>
  <si>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МТИТС</t>
  </si>
  <si>
    <t>www.mtitc.government.bg</t>
  </si>
  <si>
    <t>mdimova@mtitc.government.bg</t>
  </si>
  <si>
    <t>Иван Иванов</t>
  </si>
  <si>
    <t>Иван Марков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</si>
</sst>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0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b/>
      <sz val="10"/>
      <name val="Times New Roman Cyr"/>
      <family val="0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26" borderId="0" applyNumberFormat="0" applyBorder="0" applyAlignment="0" applyProtection="0"/>
    <xf numFmtId="0" fontId="134" fillId="27" borderId="1" applyNumberFormat="0" applyAlignment="0" applyProtection="0"/>
    <xf numFmtId="0" fontId="1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30" borderId="1" applyNumberFormat="0" applyAlignment="0" applyProtection="0"/>
    <xf numFmtId="0" fontId="144" fillId="0" borderId="6" applyNumberFormat="0" applyFill="0" applyAlignment="0" applyProtection="0"/>
    <xf numFmtId="0" fontId="145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6" fillId="27" borderId="8" applyNumberFormat="0" applyAlignment="0" applyProtection="0"/>
    <xf numFmtId="9" fontId="0" fillId="0" borderId="0" applyFon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16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0" fillId="32" borderId="0" xfId="61" applyFont="1" applyFill="1" applyAlignment="1" applyProtection="1">
      <alignment horizontal="right"/>
      <protection/>
    </xf>
    <xf numFmtId="0" fontId="151" fillId="32" borderId="0" xfId="61" applyFont="1" applyFill="1" applyBorder="1" applyAlignment="1" applyProtection="1">
      <alignment horizontal="center"/>
      <protection/>
    </xf>
    <xf numFmtId="166" fontId="152" fillId="32" borderId="0" xfId="63" applyNumberFormat="1" applyFont="1" applyFill="1" applyAlignment="1" applyProtection="1">
      <alignment/>
      <protection/>
    </xf>
    <xf numFmtId="0" fontId="150" fillId="32" borderId="0" xfId="57" applyFont="1" applyFill="1" applyAlignment="1" applyProtection="1" quotePrefix="1">
      <alignment/>
      <protection/>
    </xf>
    <xf numFmtId="0" fontId="153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16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16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2" fillId="33" borderId="0" xfId="61" applyFont="1" applyFill="1" applyAlignment="1" applyProtection="1">
      <alignment horizontal="right"/>
      <protection/>
    </xf>
    <xf numFmtId="0" fontId="23" fillId="37" borderId="0" xfId="57" applyFont="1" applyFill="1" applyProtection="1">
      <alignment/>
      <protection/>
    </xf>
    <xf numFmtId="0" fontId="24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>
      <alignment vertical="center"/>
      <protection/>
    </xf>
    <xf numFmtId="0" fontId="23" fillId="37" borderId="0" xfId="57" applyFont="1" applyFill="1" applyBorder="1" applyAlignment="1" applyProtection="1">
      <alignment vertical="center"/>
      <protection/>
    </xf>
    <xf numFmtId="0" fontId="24" fillId="37" borderId="0" xfId="57" applyFont="1" applyFill="1" applyBorder="1" applyAlignment="1">
      <alignment horizontal="center" vertical="center"/>
      <protection/>
    </xf>
    <xf numFmtId="4" fontId="23" fillId="37" borderId="0" xfId="57" applyNumberFormat="1" applyFont="1" applyFill="1" applyAlignment="1" applyProtection="1">
      <alignment vertical="center"/>
      <protection/>
    </xf>
    <xf numFmtId="4" fontId="23" fillId="0" borderId="0" xfId="57" applyNumberFormat="1" applyFont="1" applyFill="1" applyAlignment="1" applyProtection="1">
      <alignment vertical="center"/>
      <protection/>
    </xf>
    <xf numFmtId="0" fontId="23" fillId="0" borderId="0" xfId="57" applyFont="1" applyFill="1" applyBorder="1" applyAlignment="1" applyProtection="1">
      <alignment vertical="center"/>
      <protection/>
    </xf>
    <xf numFmtId="0" fontId="23" fillId="0" borderId="0" xfId="57" applyFont="1" applyFill="1" applyProtection="1">
      <alignment/>
      <protection/>
    </xf>
    <xf numFmtId="0" fontId="24" fillId="0" borderId="0" xfId="57" applyFont="1" applyFill="1" applyBorder="1" applyAlignment="1" applyProtection="1">
      <alignment horizontal="center" vertical="center"/>
      <protection/>
    </xf>
    <xf numFmtId="0" fontId="23" fillId="37" borderId="0" xfId="57" applyFont="1" applyFill="1">
      <alignment/>
      <protection/>
    </xf>
    <xf numFmtId="0" fontId="23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2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2" fillId="38" borderId="0" xfId="57" applyNumberFormat="1" applyFont="1" applyFill="1" applyBorder="1" applyAlignment="1">
      <alignment horizontal="right"/>
      <protection/>
    </xf>
    <xf numFmtId="0" fontId="25" fillId="38" borderId="0" xfId="57" applyFont="1" applyFill="1" applyBorder="1">
      <alignment/>
      <protection/>
    </xf>
    <xf numFmtId="0" fontId="26" fillId="38" borderId="0" xfId="57" applyFont="1" applyFill="1" applyBorder="1">
      <alignment/>
      <protection/>
    </xf>
    <xf numFmtId="0" fontId="25" fillId="38" borderId="13" xfId="57" applyFont="1" applyFill="1" applyBorder="1">
      <alignment/>
      <protection/>
    </xf>
    <xf numFmtId="0" fontId="22" fillId="38" borderId="0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8" fillId="38" borderId="13" xfId="57" applyFont="1" applyFill="1" applyBorder="1">
      <alignment/>
      <protection/>
    </xf>
    <xf numFmtId="0" fontId="18" fillId="38" borderId="0" xfId="57" applyFont="1" applyFill="1" applyBorder="1">
      <alignment/>
      <protection/>
    </xf>
    <xf numFmtId="0" fontId="152" fillId="38" borderId="0" xfId="57" applyFont="1" applyFill="1" applyBorder="1">
      <alignment/>
      <protection/>
    </xf>
    <xf numFmtId="0" fontId="152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7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4" fillId="38" borderId="0" xfId="57" applyFont="1" applyFill="1" applyBorder="1">
      <alignment/>
      <protection/>
    </xf>
    <xf numFmtId="0" fontId="154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3" fillId="38" borderId="0" xfId="57" applyFont="1" applyFill="1" applyBorder="1">
      <alignment/>
      <protection/>
    </xf>
    <xf numFmtId="0" fontId="28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8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1" fillId="32" borderId="24" xfId="57" applyNumberFormat="1" applyFont="1" applyFill="1" applyBorder="1" applyAlignment="1">
      <alignment horizontal="center"/>
      <protection/>
    </xf>
    <xf numFmtId="0" fontId="152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2" fillId="32" borderId="23" xfId="57" applyFont="1" applyFill="1" applyBorder="1">
      <alignment/>
      <protection/>
    </xf>
    <xf numFmtId="0" fontId="16" fillId="32" borderId="20" xfId="57" applyFont="1" applyFill="1" applyBorder="1">
      <alignment/>
      <protection/>
    </xf>
    <xf numFmtId="171" fontId="16" fillId="32" borderId="20" xfId="57" applyNumberFormat="1" applyFont="1" applyFill="1" applyBorder="1" applyAlignment="1">
      <alignment horizontal="left"/>
      <protection/>
    </xf>
    <xf numFmtId="171" fontId="16" fillId="32" borderId="24" xfId="57" applyNumberFormat="1" applyFont="1" applyFill="1" applyBorder="1" applyAlignment="1">
      <alignment horizontal="left"/>
      <protection/>
    </xf>
    <xf numFmtId="169" fontId="30" fillId="32" borderId="0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9" fontId="30" fillId="32" borderId="22" xfId="57" applyNumberFormat="1" applyFont="1" applyFill="1" applyBorder="1">
      <alignment/>
      <protection/>
    </xf>
    <xf numFmtId="0" fontId="153" fillId="32" borderId="18" xfId="57" applyFont="1" applyFill="1" applyBorder="1">
      <alignment/>
      <protection/>
    </xf>
    <xf numFmtId="168" fontId="30" fillId="32" borderId="22" xfId="57" applyNumberFormat="1" applyFont="1" applyFill="1" applyBorder="1" applyAlignment="1">
      <alignment horizontal="left"/>
      <protection/>
    </xf>
    <xf numFmtId="173" fontId="155" fillId="39" borderId="25" xfId="0" applyNumberFormat="1" applyFont="1" applyFill="1" applyBorder="1" applyAlignment="1" applyProtection="1" quotePrefix="1">
      <alignment horizontal="center"/>
      <protection/>
    </xf>
    <xf numFmtId="172" fontId="156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1" fillId="33" borderId="0" xfId="57" applyNumberFormat="1" applyFont="1" applyFill="1" applyBorder="1" applyAlignment="1">
      <alignment horizontal="center"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2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50" fillId="40" borderId="29" xfId="57" applyFont="1" applyFill="1" applyBorder="1">
      <alignment/>
      <protection/>
    </xf>
    <xf numFmtId="0" fontId="152" fillId="40" borderId="30" xfId="57" applyFont="1" applyFill="1" applyBorder="1">
      <alignment/>
      <protection/>
    </xf>
    <xf numFmtId="0" fontId="152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8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9" fillId="41" borderId="25" xfId="0" applyNumberFormat="1" applyFont="1" applyFill="1" applyBorder="1" applyAlignment="1" applyProtection="1" quotePrefix="1">
      <alignment horizontal="center"/>
      <protection/>
    </xf>
    <xf numFmtId="172" fontId="160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60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2" fillId="32" borderId="0" xfId="62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2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1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2" fillId="33" borderId="0" xfId="63" applyNumberFormat="1" applyFont="1" applyFill="1" applyBorder="1" applyAlignment="1" applyProtection="1">
      <alignment/>
      <protection/>
    </xf>
    <xf numFmtId="38" fontId="22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2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2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2" fillId="45" borderId="47" xfId="63" applyNumberFormat="1" applyFont="1" applyFill="1" applyBorder="1" applyAlignment="1" applyProtection="1">
      <alignment/>
      <protection/>
    </xf>
    <xf numFmtId="38" fontId="22" fillId="45" borderId="48" xfId="63" applyNumberFormat="1" applyFont="1" applyFill="1" applyBorder="1" applyAlignment="1" applyProtection="1">
      <alignment/>
      <protection/>
    </xf>
    <xf numFmtId="38" fontId="22" fillId="45" borderId="49" xfId="63" applyNumberFormat="1" applyFont="1" applyFill="1" applyBorder="1" applyAlignment="1" applyProtection="1">
      <alignment/>
      <protection/>
    </xf>
    <xf numFmtId="38" fontId="22" fillId="46" borderId="47" xfId="63" applyNumberFormat="1" applyFont="1" applyFill="1" applyBorder="1" applyAlignment="1" applyProtection="1">
      <alignment/>
      <protection/>
    </xf>
    <xf numFmtId="38" fontId="22" fillId="46" borderId="48" xfId="63" applyNumberFormat="1" applyFont="1" applyFill="1" applyBorder="1" applyAlignment="1" applyProtection="1">
      <alignment/>
      <protection/>
    </xf>
    <xf numFmtId="38" fontId="22" fillId="46" borderId="49" xfId="63" applyNumberFormat="1" applyFont="1" applyFill="1" applyBorder="1" applyAlignment="1" applyProtection="1">
      <alignment/>
      <protection/>
    </xf>
    <xf numFmtId="38" fontId="22" fillId="33" borderId="50" xfId="63" applyNumberFormat="1" applyFont="1" applyFill="1" applyBorder="1" applyAlignment="1" applyProtection="1">
      <alignment/>
      <protection/>
    </xf>
    <xf numFmtId="38" fontId="22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30" fillId="44" borderId="58" xfId="63" applyNumberFormat="1" applyFont="1" applyFill="1" applyBorder="1" applyAlignment="1" applyProtection="1">
      <alignment/>
      <protection/>
    </xf>
    <xf numFmtId="38" fontId="30" fillId="44" borderId="59" xfId="63" applyNumberFormat="1" applyFont="1" applyFill="1" applyBorder="1" applyAlignment="1" applyProtection="1">
      <alignment/>
      <protection/>
    </xf>
    <xf numFmtId="38" fontId="30" fillId="44" borderId="52" xfId="63" applyNumberFormat="1" applyFont="1" applyFill="1" applyBorder="1" applyAlignment="1" applyProtection="1">
      <alignment/>
      <protection/>
    </xf>
    <xf numFmtId="38" fontId="30" fillId="44" borderId="53" xfId="63" applyNumberFormat="1" applyFont="1" applyFill="1" applyBorder="1" applyAlignment="1" applyProtection="1">
      <alignment/>
      <protection/>
    </xf>
    <xf numFmtId="38" fontId="30" fillId="44" borderId="54" xfId="63" applyNumberFormat="1" applyFont="1" applyFill="1" applyBorder="1" applyAlignment="1" applyProtection="1">
      <alignment/>
      <protection/>
    </xf>
    <xf numFmtId="38" fontId="30" fillId="44" borderId="55" xfId="63" applyNumberFormat="1" applyFont="1" applyFill="1" applyBorder="1" applyAlignment="1" applyProtection="1">
      <alignment/>
      <protection/>
    </xf>
    <xf numFmtId="38" fontId="22" fillId="33" borderId="60" xfId="63" applyNumberFormat="1" applyFont="1" applyFill="1" applyBorder="1" applyAlignment="1" applyProtection="1">
      <alignment/>
      <protection/>
    </xf>
    <xf numFmtId="38" fontId="22" fillId="33" borderId="20" xfId="63" applyNumberFormat="1" applyFont="1" applyFill="1" applyBorder="1" applyAlignment="1" applyProtection="1">
      <alignment/>
      <protection/>
    </xf>
    <xf numFmtId="38" fontId="22" fillId="33" borderId="57" xfId="63" applyNumberFormat="1" applyFont="1" applyFill="1" applyBorder="1" applyAlignment="1" applyProtection="1">
      <alignment/>
      <protection/>
    </xf>
    <xf numFmtId="38" fontId="30" fillId="44" borderId="48" xfId="63" applyNumberFormat="1" applyFont="1" applyFill="1" applyBorder="1" applyAlignment="1" applyProtection="1">
      <alignment/>
      <protection/>
    </xf>
    <xf numFmtId="38" fontId="30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2" fillId="33" borderId="32" xfId="0" applyNumberFormat="1" applyFont="1" applyFill="1" applyBorder="1" applyAlignment="1" applyProtection="1">
      <alignment horizontal="center"/>
      <protection locked="0"/>
    </xf>
    <xf numFmtId="175" fontId="162" fillId="33" borderId="50" xfId="0" applyNumberFormat="1" applyFont="1" applyFill="1" applyBorder="1" applyAlignment="1" applyProtection="1">
      <alignment horizontal="center"/>
      <protection/>
    </xf>
    <xf numFmtId="0" fontId="153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2" fillId="33" borderId="67" xfId="63" applyNumberFormat="1" applyFont="1" applyFill="1" applyBorder="1" applyAlignment="1" applyProtection="1">
      <alignment/>
      <protection/>
    </xf>
    <xf numFmtId="38" fontId="22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2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30" fillId="44" borderId="56" xfId="63" applyNumberFormat="1" applyFont="1" applyFill="1" applyBorder="1" applyAlignment="1" applyProtection="1">
      <alignment/>
      <protection/>
    </xf>
    <xf numFmtId="38" fontId="30" fillId="44" borderId="64" xfId="63" applyNumberFormat="1" applyFont="1" applyFill="1" applyBorder="1" applyAlignment="1" applyProtection="1">
      <alignment/>
      <protection/>
    </xf>
    <xf numFmtId="38" fontId="30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30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3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2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2" fillId="44" borderId="60" xfId="63" applyNumberFormat="1" applyFont="1" applyFill="1" applyBorder="1" applyAlignment="1" applyProtection="1">
      <alignment horizontal="center"/>
      <protection/>
    </xf>
    <xf numFmtId="38" fontId="22" fillId="44" borderId="20" xfId="63" applyNumberFormat="1" applyFont="1" applyFill="1" applyBorder="1" applyAlignment="1" applyProtection="1">
      <alignment horizontal="center"/>
      <protection/>
    </xf>
    <xf numFmtId="38" fontId="22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30" fillId="44" borderId="47" xfId="63" applyNumberFormat="1" applyFont="1" applyFill="1" applyBorder="1" applyAlignment="1" applyProtection="1">
      <alignment horizontal="center"/>
      <protection/>
    </xf>
    <xf numFmtId="38" fontId="30" fillId="44" borderId="48" xfId="63" applyNumberFormat="1" applyFont="1" applyFill="1" applyBorder="1" applyAlignment="1" applyProtection="1">
      <alignment horizontal="center"/>
      <protection/>
    </xf>
    <xf numFmtId="38" fontId="30" fillId="44" borderId="49" xfId="63" applyNumberFormat="1" applyFont="1" applyFill="1" applyBorder="1" applyAlignment="1" applyProtection="1">
      <alignment horizontal="center"/>
      <protection/>
    </xf>
    <xf numFmtId="38" fontId="22" fillId="33" borderId="60" xfId="63" applyNumberFormat="1" applyFont="1" applyFill="1" applyBorder="1" applyAlignment="1" applyProtection="1">
      <alignment horizontal="center"/>
      <protection/>
    </xf>
    <xf numFmtId="38" fontId="22" fillId="33" borderId="20" xfId="63" applyNumberFormat="1" applyFont="1" applyFill="1" applyBorder="1" applyAlignment="1" applyProtection="1">
      <alignment horizontal="center"/>
      <protection/>
    </xf>
    <xf numFmtId="38" fontId="22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2" fillId="33" borderId="67" xfId="63" applyNumberFormat="1" applyFont="1" applyFill="1" applyBorder="1" applyAlignment="1" applyProtection="1">
      <alignment horizontal="left"/>
      <protection/>
    </xf>
    <xf numFmtId="38" fontId="22" fillId="33" borderId="50" xfId="63" applyNumberFormat="1" applyFont="1" applyFill="1" applyBorder="1" applyAlignment="1" applyProtection="1">
      <alignment horizontal="left"/>
      <protection/>
    </xf>
    <xf numFmtId="38" fontId="22" fillId="33" borderId="51" xfId="63" applyNumberFormat="1" applyFont="1" applyFill="1" applyBorder="1" applyAlignment="1" applyProtection="1">
      <alignment horizontal="left"/>
      <protection/>
    </xf>
    <xf numFmtId="38" fontId="22" fillId="33" borderId="66" xfId="63" applyNumberFormat="1" applyFont="1" applyFill="1" applyBorder="1" applyAlignment="1" applyProtection="1">
      <alignment horizontal="left"/>
      <protection/>
    </xf>
    <xf numFmtId="38" fontId="22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5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4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6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8" fillId="39" borderId="25" xfId="0" applyNumberFormat="1" applyFont="1" applyFill="1" applyBorder="1" applyAlignment="1" applyProtection="1" quotePrefix="1">
      <alignment horizontal="center"/>
      <protection/>
    </xf>
    <xf numFmtId="183" fontId="165" fillId="42" borderId="25" xfId="0" applyNumberFormat="1" applyFont="1" applyFill="1" applyBorder="1" applyAlignment="1" applyProtection="1" quotePrefix="1">
      <alignment horizontal="center"/>
      <protection/>
    </xf>
    <xf numFmtId="183" fontId="166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2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7" fillId="38" borderId="107" xfId="0" applyNumberFormat="1" applyFont="1" applyFill="1" applyBorder="1" applyAlignment="1" applyProtection="1">
      <alignment horizontal="center"/>
      <protection/>
    </xf>
    <xf numFmtId="174" fontId="16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3" fillId="33" borderId="61" xfId="0" applyNumberFormat="1" applyFont="1" applyFill="1" applyBorder="1" applyAlignment="1" applyProtection="1">
      <alignment/>
      <protection/>
    </xf>
    <xf numFmtId="0" fontId="63" fillId="33" borderId="61" xfId="0" applyFont="1" applyFill="1" applyBorder="1" applyAlignment="1" applyProtection="1">
      <alignment/>
      <protection/>
    </xf>
    <xf numFmtId="166" fontId="16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9" fillId="49" borderId="0" xfId="60" applyFont="1" applyFill="1" applyBorder="1" applyAlignment="1" applyProtection="1">
      <alignment horizontal="center"/>
      <protection/>
    </xf>
    <xf numFmtId="166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3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2" fillId="45" borderId="0" xfId="63" applyNumberFormat="1" applyFont="1" applyFill="1" applyBorder="1" applyAlignment="1" applyProtection="1">
      <alignment/>
      <protection/>
    </xf>
    <xf numFmtId="0" fontId="170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70" fillId="35" borderId="0" xfId="62" applyFont="1" applyFill="1" applyBorder="1" applyAlignment="1" applyProtection="1">
      <alignment/>
      <protection/>
    </xf>
    <xf numFmtId="0" fontId="169" fillId="33" borderId="0" xfId="60" applyFont="1" applyFill="1" applyBorder="1" applyAlignment="1" applyProtection="1">
      <alignment horizontal="center"/>
      <protection/>
    </xf>
    <xf numFmtId="164" fontId="66" fillId="50" borderId="32" xfId="62" applyNumberFormat="1" applyFont="1" applyFill="1" applyBorder="1" applyAlignment="1" applyProtection="1">
      <alignment horizontal="center" vertical="center"/>
      <protection locked="0"/>
    </xf>
    <xf numFmtId="166" fontId="150" fillId="32" borderId="0" xfId="63" applyNumberFormat="1" applyFont="1" applyFill="1" applyAlignment="1" applyProtection="1">
      <alignment/>
      <protection/>
    </xf>
    <xf numFmtId="0" fontId="153" fillId="35" borderId="0" xfId="62" applyFont="1" applyFill="1" applyBorder="1" applyProtection="1">
      <alignment/>
      <protection/>
    </xf>
    <xf numFmtId="0" fontId="171" fillId="35" borderId="0" xfId="62" applyFont="1" applyFill="1" applyBorder="1" applyProtection="1">
      <alignment/>
      <protection/>
    </xf>
    <xf numFmtId="0" fontId="171" fillId="35" borderId="0" xfId="62" applyFont="1" applyFill="1" applyProtection="1">
      <alignment/>
      <protection/>
    </xf>
    <xf numFmtId="172" fontId="159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16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20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20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8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2" fillId="33" borderId="50" xfId="0" applyFont="1" applyFill="1" applyBorder="1" applyAlignment="1" applyProtection="1">
      <alignment horizontal="center"/>
      <protection/>
    </xf>
    <xf numFmtId="0" fontId="173" fillId="32" borderId="50" xfId="0" applyFont="1" applyFill="1" applyBorder="1" applyAlignment="1" applyProtection="1">
      <alignment horizontal="center"/>
      <protection locked="0"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164" fontId="175" fillId="33" borderId="32" xfId="62" applyNumberFormat="1" applyFont="1" applyFill="1" applyBorder="1" applyAlignment="1" applyProtection="1">
      <alignment horizontal="center" vertical="center"/>
      <protection/>
    </xf>
    <xf numFmtId="0" fontId="16" fillId="33" borderId="32" xfId="62" applyNumberFormat="1" applyFont="1" applyFill="1" applyBorder="1" applyAlignment="1" applyProtection="1">
      <alignment horizontal="center" vertical="center"/>
      <protection/>
    </xf>
    <xf numFmtId="0" fontId="16" fillId="38" borderId="32" xfId="62" applyNumberFormat="1" applyFont="1" applyFill="1" applyBorder="1" applyAlignment="1" applyProtection="1">
      <alignment horizontal="center" vertical="center"/>
      <protection locked="0"/>
    </xf>
    <xf numFmtId="38" fontId="19" fillId="33" borderId="65" xfId="63" applyNumberFormat="1" applyFont="1" applyFill="1" applyBorder="1" applyAlignment="1" applyProtection="1">
      <alignment/>
      <protection/>
    </xf>
    <xf numFmtId="38" fontId="19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4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6" fillId="33" borderId="0" xfId="57" applyNumberFormat="1" applyFont="1" applyFill="1" applyBorder="1" applyAlignment="1">
      <alignment/>
      <protection/>
    </xf>
    <xf numFmtId="0" fontId="1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0" fontId="23" fillId="33" borderId="0" xfId="57" applyFont="1" applyFill="1">
      <alignment/>
      <protection/>
    </xf>
    <xf numFmtId="171" fontId="176" fillId="33" borderId="0" xfId="57" applyNumberFormat="1" applyFont="1" applyFill="1" applyBorder="1" applyAlignment="1">
      <alignment/>
      <protection/>
    </xf>
    <xf numFmtId="171" fontId="177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3" fillId="33" borderId="0" xfId="57" applyNumberFormat="1" applyFont="1" applyFill="1" applyBorder="1" applyAlignment="1">
      <alignment/>
      <protection/>
    </xf>
    <xf numFmtId="171" fontId="72" fillId="51" borderId="0" xfId="57" applyNumberFormat="1" applyFont="1" applyFill="1" applyBorder="1" applyAlignment="1">
      <alignment horizontal="center"/>
      <protection/>
    </xf>
    <xf numFmtId="0" fontId="17" fillId="33" borderId="0" xfId="57" applyFont="1" applyFill="1" applyBorder="1">
      <alignment/>
      <protection/>
    </xf>
    <xf numFmtId="168" fontId="72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9" fillId="33" borderId="74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8" fillId="33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8" fillId="32" borderId="119" xfId="0" applyNumberFormat="1" applyFont="1" applyFill="1" applyBorder="1" applyAlignment="1" applyProtection="1" quotePrefix="1">
      <alignment/>
      <protection/>
    </xf>
    <xf numFmtId="166" fontId="179" fillId="32" borderId="37" xfId="0" applyNumberFormat="1" applyFont="1" applyFill="1" applyBorder="1" applyAlignment="1" applyProtection="1" quotePrefix="1">
      <alignment/>
      <protection/>
    </xf>
    <xf numFmtId="166" fontId="178" fillId="33" borderId="90" xfId="0" applyNumberFormat="1" applyFont="1" applyFill="1" applyBorder="1" applyAlignment="1" applyProtection="1" quotePrefix="1">
      <alignment/>
      <protection/>
    </xf>
    <xf numFmtId="166" fontId="179" fillId="33" borderId="91" xfId="0" applyNumberFormat="1" applyFont="1" applyFill="1" applyBorder="1" applyAlignment="1" applyProtection="1" quotePrefix="1">
      <alignment/>
      <protection/>
    </xf>
    <xf numFmtId="166" fontId="179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50" fillId="43" borderId="121" xfId="0" applyNumberFormat="1" applyFont="1" applyFill="1" applyBorder="1" applyAlignment="1" applyProtection="1">
      <alignment horizontal="center"/>
      <protection/>
    </xf>
    <xf numFmtId="174" fontId="180" fillId="52" borderId="121" xfId="0" applyNumberFormat="1" applyFont="1" applyFill="1" applyBorder="1" applyAlignment="1" applyProtection="1">
      <alignment horizontal="center"/>
      <protection/>
    </xf>
    <xf numFmtId="174" fontId="181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50" fillId="53" borderId="121" xfId="0" applyNumberFormat="1" applyFont="1" applyFill="1" applyBorder="1" applyAlignment="1" applyProtection="1">
      <alignment horizontal="center"/>
      <protection/>
    </xf>
    <xf numFmtId="174" fontId="182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184" fillId="40" borderId="121" xfId="0" applyNumberFormat="1" applyFont="1" applyFill="1" applyBorder="1" applyAlignment="1" applyProtection="1">
      <alignment horizontal="center"/>
      <protection/>
    </xf>
    <xf numFmtId="174" fontId="22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7" fillId="38" borderId="122" xfId="0" applyNumberFormat="1" applyFont="1" applyFill="1" applyBorder="1" applyAlignment="1" applyProtection="1">
      <alignment horizontal="center"/>
      <protection/>
    </xf>
    <xf numFmtId="174" fontId="16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6" fillId="32" borderId="0" xfId="57" applyNumberFormat="1" applyFont="1" applyFill="1" applyBorder="1" applyAlignment="1">
      <alignment horizontal="center"/>
      <protection/>
    </xf>
    <xf numFmtId="0" fontId="16" fillId="38" borderId="0" xfId="57" applyFont="1" applyFill="1" applyBorder="1" quotePrefix="1">
      <alignment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16" fillId="33" borderId="0" xfId="57" applyFont="1" applyFill="1" applyBorder="1">
      <alignment/>
      <protection/>
    </xf>
    <xf numFmtId="0" fontId="16" fillId="32" borderId="19" xfId="57" applyFont="1" applyFill="1" applyBorder="1">
      <alignment/>
      <protection/>
    </xf>
    <xf numFmtId="0" fontId="16" fillId="32" borderId="17" xfId="57" applyFont="1" applyFill="1" applyBorder="1">
      <alignment/>
      <protection/>
    </xf>
    <xf numFmtId="0" fontId="16" fillId="32" borderId="21" xfId="57" applyFont="1" applyFill="1" applyBorder="1">
      <alignment/>
      <protection/>
    </xf>
    <xf numFmtId="0" fontId="16" fillId="32" borderId="0" xfId="57" applyFont="1" applyFill="1" applyBorder="1">
      <alignment/>
      <protection/>
    </xf>
    <xf numFmtId="0" fontId="16" fillId="32" borderId="22" xfId="57" applyFont="1" applyFill="1" applyBorder="1">
      <alignment/>
      <protection/>
    </xf>
    <xf numFmtId="169" fontId="176" fillId="38" borderId="0" xfId="57" applyNumberFormat="1" applyFont="1" applyFill="1" applyBorder="1">
      <alignment/>
      <protection/>
    </xf>
    <xf numFmtId="171" fontId="176" fillId="32" borderId="0" xfId="57" applyNumberFormat="1" applyFont="1" applyFill="1" applyBorder="1" applyAlignment="1">
      <alignment horizontal="center"/>
      <protection/>
    </xf>
    <xf numFmtId="171" fontId="177" fillId="33" borderId="0" xfId="57" applyNumberFormat="1" applyFont="1" applyFill="1" applyBorder="1" applyAlignment="1">
      <alignment horizontal="center"/>
      <protection/>
    </xf>
    <xf numFmtId="169" fontId="177" fillId="51" borderId="0" xfId="57" applyNumberFormat="1" applyFont="1" applyFill="1" applyBorder="1" applyAlignment="1">
      <alignment horizontal="center"/>
      <protection/>
    </xf>
    <xf numFmtId="169" fontId="176" fillId="33" borderId="0" xfId="57" applyNumberFormat="1" applyFont="1" applyFill="1" applyBorder="1" applyAlignment="1">
      <alignment horizontal="center"/>
      <protection/>
    </xf>
    <xf numFmtId="168" fontId="176" fillId="32" borderId="0" xfId="57" applyNumberFormat="1" applyFont="1" applyFill="1" applyBorder="1" applyAlignment="1">
      <alignment horizontal="center"/>
      <protection/>
    </xf>
    <xf numFmtId="170" fontId="176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6" fillId="38" borderId="0" xfId="57" applyNumberFormat="1" applyFont="1" applyFill="1" applyBorder="1" applyAlignment="1">
      <alignment horizontal="center"/>
      <protection/>
    </xf>
    <xf numFmtId="179" fontId="150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50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2" fillId="36" borderId="33" xfId="53" applyFill="1" applyBorder="1" applyAlignment="1" applyProtection="1">
      <alignment horizontal="center" vertical="center"/>
      <protection locked="0"/>
    </xf>
    <xf numFmtId="0" fontId="185" fillId="36" borderId="48" xfId="53" applyFont="1" applyFill="1" applyBorder="1" applyAlignment="1" applyProtection="1">
      <alignment horizontal="center" vertical="center"/>
      <protection locked="0"/>
    </xf>
    <xf numFmtId="0" fontId="185" fillId="36" borderId="34" xfId="53" applyFont="1" applyFill="1" applyBorder="1" applyAlignment="1" applyProtection="1">
      <alignment horizontal="center" vertical="center"/>
      <protection locked="0"/>
    </xf>
    <xf numFmtId="38" fontId="142" fillId="33" borderId="33" xfId="53" applyNumberFormat="1" applyFill="1" applyBorder="1" applyAlignment="1" applyProtection="1">
      <alignment horizontal="center" vertical="center"/>
      <protection locked="0"/>
    </xf>
    <xf numFmtId="38" fontId="186" fillId="33" borderId="48" xfId="53" applyNumberFormat="1" applyFont="1" applyFill="1" applyBorder="1" applyAlignment="1" applyProtection="1">
      <alignment horizontal="center" vertical="center"/>
      <protection locked="0"/>
    </xf>
    <xf numFmtId="38" fontId="186" fillId="33" borderId="34" xfId="53" applyNumberFormat="1" applyFont="1" applyFill="1" applyBorder="1" applyAlignment="1" applyProtection="1">
      <alignment horizontal="center" vertical="center"/>
      <protection locked="0"/>
    </xf>
    <xf numFmtId="0" fontId="28" fillId="50" borderId="124" xfId="62" applyFont="1" applyFill="1" applyBorder="1" applyAlignment="1" applyProtection="1" quotePrefix="1">
      <alignment horizontal="center" wrapText="1"/>
      <protection locked="0"/>
    </xf>
    <xf numFmtId="0" fontId="28" fillId="50" borderId="58" xfId="62" applyFont="1" applyFill="1" applyBorder="1" applyAlignment="1" applyProtection="1">
      <alignment horizontal="center" wrapText="1"/>
      <protection locked="0"/>
    </xf>
    <xf numFmtId="0" fontId="28" fillId="50" borderId="125" xfId="62" applyFont="1" applyFill="1" applyBorder="1" applyAlignment="1" applyProtection="1">
      <alignment horizontal="center" wrapText="1"/>
      <protection locked="0"/>
    </xf>
    <xf numFmtId="1" fontId="63" fillId="33" borderId="33" xfId="0" applyNumberFormat="1" applyFont="1" applyFill="1" applyBorder="1" applyAlignment="1" applyProtection="1">
      <alignment horizontal="center"/>
      <protection locked="0"/>
    </xf>
    <xf numFmtId="1" fontId="63" fillId="33" borderId="48" xfId="0" applyNumberFormat="1" applyFont="1" applyFill="1" applyBorder="1" applyAlignment="1" applyProtection="1">
      <alignment horizontal="center"/>
      <protection locked="0"/>
    </xf>
    <xf numFmtId="1" fontId="63" fillId="33" borderId="34" xfId="0" applyNumberFormat="1" applyFont="1" applyFill="1" applyBorder="1" applyAlignment="1" applyProtection="1">
      <alignment horizontal="center"/>
      <protection locked="0"/>
    </xf>
    <xf numFmtId="0" fontId="187" fillId="32" borderId="50" xfId="57" applyFont="1" applyFill="1" applyBorder="1" applyAlignment="1" applyProtection="1" quotePrefix="1">
      <alignment horizontal="center"/>
      <protection/>
    </xf>
    <xf numFmtId="0" fontId="188" fillId="38" borderId="21" xfId="62" applyFont="1" applyFill="1" applyBorder="1" applyAlignment="1" applyProtection="1">
      <alignment horizontal="center" vertical="center" wrapText="1"/>
      <protection locked="0"/>
    </xf>
    <xf numFmtId="0" fontId="188" fillId="38" borderId="22" xfId="62" applyFont="1" applyFill="1" applyBorder="1" applyAlignment="1" applyProtection="1">
      <alignment horizontal="center" vertical="center" wrapText="1"/>
      <protection locked="0"/>
    </xf>
    <xf numFmtId="0" fontId="188" fillId="38" borderId="23" xfId="62" applyFont="1" applyFill="1" applyBorder="1" applyAlignment="1" applyProtection="1">
      <alignment horizontal="center" vertical="center" wrapText="1"/>
      <protection locked="0"/>
    </xf>
    <xf numFmtId="0" fontId="189" fillId="33" borderId="66" xfId="60" applyFont="1" applyFill="1" applyBorder="1" applyAlignment="1" applyProtection="1">
      <alignment horizontal="center"/>
      <protection/>
    </xf>
    <xf numFmtId="0" fontId="189" fillId="33" borderId="0" xfId="60" applyFont="1" applyFill="1" applyBorder="1" applyAlignment="1" applyProtection="1">
      <alignment horizontal="center"/>
      <protection/>
    </xf>
    <xf numFmtId="0" fontId="189" fillId="33" borderId="35" xfId="60" applyFont="1" applyFill="1" applyBorder="1" applyAlignment="1" applyProtection="1">
      <alignment horizontal="center"/>
      <protection/>
    </xf>
    <xf numFmtId="0" fontId="169" fillId="49" borderId="119" xfId="60" applyFont="1" applyFill="1" applyBorder="1" applyAlignment="1" applyProtection="1">
      <alignment horizontal="center"/>
      <protection/>
    </xf>
    <xf numFmtId="0" fontId="190" fillId="32" borderId="0" xfId="59" applyFont="1" applyFill="1" applyBorder="1" applyAlignment="1" applyProtection="1">
      <alignment horizontal="center"/>
      <protection/>
    </xf>
    <xf numFmtId="177" fontId="160" fillId="33" borderId="33" xfId="59" applyNumberFormat="1" applyFont="1" applyFill="1" applyBorder="1" applyAlignment="1" applyProtection="1">
      <alignment horizontal="center"/>
      <protection/>
    </xf>
    <xf numFmtId="177" fontId="160" fillId="33" borderId="48" xfId="59" applyNumberFormat="1" applyFont="1" applyFill="1" applyBorder="1" applyAlignment="1" applyProtection="1">
      <alignment horizontal="center"/>
      <protection/>
    </xf>
    <xf numFmtId="177" fontId="160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0" fontId="18" fillId="50" borderId="17" xfId="62" applyFont="1" applyFill="1" applyBorder="1" applyAlignment="1" applyProtection="1">
      <alignment horizontal="center" vertical="top"/>
      <protection/>
    </xf>
    <xf numFmtId="0" fontId="18" fillId="50" borderId="0" xfId="62" applyFont="1" applyFill="1" applyBorder="1" applyAlignment="1" applyProtection="1">
      <alignment horizontal="center" vertical="top"/>
      <protection/>
    </xf>
    <xf numFmtId="0" fontId="18" fillId="50" borderId="18" xfId="62" applyFont="1" applyFill="1" applyBorder="1" applyAlignment="1" applyProtection="1">
      <alignment horizontal="center" vertical="top"/>
      <protection/>
    </xf>
    <xf numFmtId="177" fontId="191" fillId="32" borderId="0" xfId="59" applyNumberFormat="1" applyFont="1" applyFill="1" applyBorder="1" applyAlignment="1" applyProtection="1">
      <alignment horizontal="center"/>
      <protection/>
    </xf>
    <xf numFmtId="0" fontId="150" fillId="32" borderId="0" xfId="57" applyFont="1" applyFill="1" applyAlignment="1" applyProtection="1" quotePrefix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22" fillId="46" borderId="47" xfId="63" applyNumberFormat="1" applyFont="1" applyFill="1" applyBorder="1" applyAlignment="1" applyProtection="1">
      <alignment horizontal="center"/>
      <protection/>
    </xf>
    <xf numFmtId="38" fontId="22" fillId="46" borderId="48" xfId="63" applyNumberFormat="1" applyFont="1" applyFill="1" applyBorder="1" applyAlignment="1" applyProtection="1">
      <alignment horizontal="center"/>
      <protection/>
    </xf>
    <xf numFmtId="38" fontId="22" fillId="46" borderId="49" xfId="63" applyNumberFormat="1" applyFont="1" applyFill="1" applyBorder="1" applyAlignment="1" applyProtection="1">
      <alignment horizontal="center"/>
      <protection/>
    </xf>
    <xf numFmtId="38" fontId="30" fillId="44" borderId="56" xfId="63" applyNumberFormat="1" applyFont="1" applyFill="1" applyBorder="1" applyAlignment="1" applyProtection="1">
      <alignment horizontal="center"/>
      <protection/>
    </xf>
    <xf numFmtId="38" fontId="30" fillId="44" borderId="58" xfId="63" applyNumberFormat="1" applyFont="1" applyFill="1" applyBorder="1" applyAlignment="1" applyProtection="1">
      <alignment horizontal="center"/>
      <protection/>
    </xf>
    <xf numFmtId="38" fontId="30" fillId="44" borderId="59" xfId="63" applyNumberFormat="1" applyFont="1" applyFill="1" applyBorder="1" applyAlignment="1" applyProtection="1">
      <alignment horizontal="center"/>
      <protection/>
    </xf>
    <xf numFmtId="38" fontId="30" fillId="44" borderId="64" xfId="63" applyNumberFormat="1" applyFont="1" applyFill="1" applyBorder="1" applyAlignment="1" applyProtection="1">
      <alignment horizontal="center"/>
      <protection/>
    </xf>
    <xf numFmtId="38" fontId="30" fillId="44" borderId="52" xfId="63" applyNumberFormat="1" applyFont="1" applyFill="1" applyBorder="1" applyAlignment="1" applyProtection="1">
      <alignment horizontal="center"/>
      <protection/>
    </xf>
    <xf numFmtId="38" fontId="30" fillId="44" borderId="53" xfId="63" applyNumberFormat="1" applyFont="1" applyFill="1" applyBorder="1" applyAlignment="1" applyProtection="1">
      <alignment horizontal="center"/>
      <protection/>
    </xf>
    <xf numFmtId="38" fontId="30" fillId="44" borderId="65" xfId="63" applyNumberFormat="1" applyFont="1" applyFill="1" applyBorder="1" applyAlignment="1" applyProtection="1">
      <alignment horizontal="center"/>
      <protection/>
    </xf>
    <xf numFmtId="38" fontId="30" fillId="44" borderId="54" xfId="63" applyNumberFormat="1" applyFont="1" applyFill="1" applyBorder="1" applyAlignment="1" applyProtection="1">
      <alignment horizontal="center"/>
      <protection/>
    </xf>
    <xf numFmtId="38" fontId="30" fillId="44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3" fillId="47" borderId="65" xfId="63" applyNumberFormat="1" applyFont="1" applyFill="1" applyBorder="1" applyAlignment="1" applyProtection="1">
      <alignment horizontal="center"/>
      <protection/>
    </xf>
    <xf numFmtId="38" fontId="163" fillId="47" borderId="54" xfId="63" applyNumberFormat="1" applyFont="1" applyFill="1" applyBorder="1" applyAlignment="1" applyProtection="1">
      <alignment horizontal="center"/>
      <protection/>
    </xf>
    <xf numFmtId="38" fontId="163" fillId="47" borderId="55" xfId="63" applyNumberFormat="1" applyFont="1" applyFill="1" applyBorder="1" applyAlignment="1" applyProtection="1">
      <alignment horizontal="center"/>
      <protection/>
    </xf>
    <xf numFmtId="38" fontId="57" fillId="33" borderId="67" xfId="63" applyNumberFormat="1" applyFont="1" applyFill="1" applyBorder="1" applyAlignment="1" applyProtection="1">
      <alignment horizontal="center"/>
      <protection/>
    </xf>
    <xf numFmtId="38" fontId="57" fillId="33" borderId="50" xfId="63" applyNumberFormat="1" applyFont="1" applyFill="1" applyBorder="1" applyAlignment="1" applyProtection="1">
      <alignment horizontal="center"/>
      <protection/>
    </xf>
    <xf numFmtId="38" fontId="57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178" fontId="192" fillId="46" borderId="33" xfId="57" applyNumberFormat="1" applyFont="1" applyFill="1" applyBorder="1" applyAlignment="1" applyProtection="1">
      <alignment horizontal="center" vertical="center"/>
      <protection locked="0"/>
    </xf>
    <xf numFmtId="178" fontId="192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16" fillId="33" borderId="65" xfId="63" applyNumberFormat="1" applyFont="1" applyFill="1" applyBorder="1" applyAlignment="1" applyProtection="1">
      <alignment horizontal="center"/>
      <protection/>
    </xf>
    <xf numFmtId="38" fontId="16" fillId="33" borderId="54" xfId="63" applyNumberFormat="1" applyFont="1" applyFill="1" applyBorder="1" applyAlignment="1" applyProtection="1">
      <alignment horizontal="center"/>
      <protection/>
    </xf>
    <xf numFmtId="38" fontId="16" fillId="33" borderId="55" xfId="63" applyNumberFormat="1" applyFont="1" applyFill="1" applyBorder="1" applyAlignment="1" applyProtection="1">
      <alignment horizontal="center"/>
      <protection/>
    </xf>
    <xf numFmtId="0" fontId="22" fillId="36" borderId="124" xfId="62" applyFont="1" applyFill="1" applyBorder="1" applyAlignment="1" applyProtection="1" quotePrefix="1">
      <alignment horizontal="center" wrapText="1"/>
      <protection/>
    </xf>
    <xf numFmtId="0" fontId="22" fillId="36" borderId="58" xfId="62" applyFont="1" applyFill="1" applyBorder="1" applyAlignment="1" applyProtection="1">
      <alignment horizontal="center" wrapText="1"/>
      <protection/>
    </xf>
    <xf numFmtId="0" fontId="22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92" fillId="46" borderId="33" xfId="57" applyNumberFormat="1" applyFont="1" applyFill="1" applyBorder="1" applyAlignment="1" applyProtection="1">
      <alignment horizontal="center" vertical="center"/>
      <protection/>
    </xf>
    <xf numFmtId="178" fontId="192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7" fillId="33" borderId="21" xfId="62" applyFont="1" applyFill="1" applyBorder="1" applyAlignment="1" applyProtection="1">
      <alignment horizontal="center" vertical="center" wrapText="1"/>
      <protection/>
    </xf>
    <xf numFmtId="0" fontId="67" fillId="33" borderId="22" xfId="62" applyFont="1" applyFill="1" applyBorder="1" applyAlignment="1" applyProtection="1">
      <alignment horizontal="center" vertical="center" wrapText="1"/>
      <protection/>
    </xf>
    <xf numFmtId="0" fontId="67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3" fillId="36" borderId="33" xfId="53" applyFont="1" applyFill="1" applyBorder="1" applyAlignment="1" applyProtection="1">
      <alignment horizontal="center" vertical="center"/>
      <protection/>
    </xf>
    <xf numFmtId="0" fontId="193" fillId="36" borderId="48" xfId="53" applyFont="1" applyFill="1" applyBorder="1" applyAlignment="1" applyProtection="1">
      <alignment horizontal="center" vertical="center"/>
      <protection/>
    </xf>
    <xf numFmtId="0" fontId="193" fillId="36" borderId="34" xfId="53" applyFont="1" applyFill="1" applyBorder="1" applyAlignment="1" applyProtection="1">
      <alignment horizontal="center" vertic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1" fillId="33" borderId="0" xfId="59" applyNumberFormat="1" applyFont="1" applyFill="1" applyBorder="1" applyAlignment="1" applyProtection="1">
      <alignment horizontal="center"/>
      <protection/>
    </xf>
    <xf numFmtId="0" fontId="187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89" fillId="33" borderId="119" xfId="60" applyFont="1" applyFill="1" applyBorder="1" applyAlignment="1" applyProtection="1">
      <alignment horizontal="center"/>
      <protection/>
    </xf>
    <xf numFmtId="0" fontId="189" fillId="33" borderId="126" xfId="60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5" zoomScaleNormal="85" zoomScalePageLayoutView="0" workbookViewId="0" topLeftCell="A1">
      <pane xSplit="5" ySplit="12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1" sqref="C14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579" t="s">
        <v>350</v>
      </c>
      <c r="C1" s="580"/>
      <c r="D1" s="580"/>
      <c r="E1" s="580"/>
      <c r="F1" s="581"/>
      <c r="G1" s="467" t="s">
        <v>274</v>
      </c>
      <c r="H1" s="460"/>
      <c r="I1" s="571">
        <v>695388</v>
      </c>
      <c r="J1" s="572"/>
      <c r="K1" s="461"/>
      <c r="L1" s="469" t="s">
        <v>275</v>
      </c>
      <c r="M1" s="465">
        <v>2300</v>
      </c>
      <c r="N1" s="461"/>
      <c r="O1" s="469" t="s">
        <v>267</v>
      </c>
      <c r="P1" s="488">
        <v>29409459</v>
      </c>
      <c r="Q1" s="462"/>
      <c r="R1" s="376" t="s">
        <v>323</v>
      </c>
      <c r="S1" s="647">
        <v>2300</v>
      </c>
      <c r="T1" s="648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06" t="s">
        <v>268</v>
      </c>
      <c r="C2" s="607"/>
      <c r="D2" s="607"/>
      <c r="E2" s="607"/>
      <c r="F2" s="608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586" t="s">
        <v>280</v>
      </c>
      <c r="C3" s="587"/>
      <c r="D3" s="587"/>
      <c r="E3" s="587"/>
      <c r="F3" s="588"/>
      <c r="G3" s="468" t="s">
        <v>266</v>
      </c>
      <c r="H3" s="576" t="s">
        <v>351</v>
      </c>
      <c r="I3" s="577"/>
      <c r="J3" s="577"/>
      <c r="K3" s="578"/>
      <c r="L3" s="28" t="s">
        <v>276</v>
      </c>
      <c r="M3" s="573" t="s">
        <v>352</v>
      </c>
      <c r="N3" s="574"/>
      <c r="O3" s="574"/>
      <c r="P3" s="575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10" t="s">
        <v>273</v>
      </c>
      <c r="E5" s="610"/>
      <c r="F5" s="610"/>
      <c r="G5" s="610"/>
      <c r="H5" s="610"/>
      <c r="I5" s="610"/>
      <c r="J5" s="610"/>
      <c r="K5" s="610"/>
      <c r="L5" s="610"/>
      <c r="M5" s="20"/>
      <c r="N5" s="20"/>
      <c r="O5" s="24" t="s">
        <v>22</v>
      </c>
      <c r="P5" s="486">
        <v>2017</v>
      </c>
      <c r="Q5" s="20"/>
      <c r="R5" s="593" t="s">
        <v>194</v>
      </c>
      <c r="S5" s="593"/>
      <c r="T5" s="593"/>
      <c r="U5" s="15"/>
    </row>
    <row r="6" spans="1:28" s="3" customFormat="1" ht="17.25" customHeight="1">
      <c r="A6" s="15"/>
      <c r="B6" s="27" t="s">
        <v>271</v>
      </c>
      <c r="C6" s="27"/>
      <c r="D6" s="610" t="s">
        <v>272</v>
      </c>
      <c r="E6" s="610"/>
      <c r="F6" s="610"/>
      <c r="G6" s="610"/>
      <c r="H6" s="610"/>
      <c r="I6" s="610"/>
      <c r="J6" s="610"/>
      <c r="K6" s="610"/>
      <c r="L6" s="610"/>
      <c r="M6" s="21"/>
      <c r="N6" s="16"/>
      <c r="O6" s="15"/>
      <c r="P6" s="15"/>
      <c r="Q6" s="13"/>
      <c r="R6" s="609">
        <f>+P4</f>
        <v>0</v>
      </c>
      <c r="S6" s="609"/>
      <c r="T6" s="60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585" t="str">
        <f>+B1</f>
        <v>МТИТС</v>
      </c>
      <c r="E8" s="585"/>
      <c r="F8" s="585"/>
      <c r="G8" s="585"/>
      <c r="H8" s="585"/>
      <c r="I8" s="585"/>
      <c r="J8" s="585"/>
      <c r="K8" s="585"/>
      <c r="L8" s="585"/>
      <c r="M8" s="466" t="s">
        <v>277</v>
      </c>
      <c r="N8" s="16"/>
      <c r="O8" s="484" t="s">
        <v>255</v>
      </c>
      <c r="P8" s="319" t="s">
        <v>56</v>
      </c>
      <c r="Q8" s="13"/>
      <c r="R8" s="594">
        <f>+P5</f>
        <v>2017</v>
      </c>
      <c r="S8" s="595"/>
      <c r="T8" s="59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597" t="s">
        <v>0</v>
      </c>
      <c r="S10" s="598"/>
      <c r="T10" s="59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30.06.2017 г.</v>
      </c>
      <c r="G11" s="430">
        <f>+P5-1</f>
        <v>2016</v>
      </c>
      <c r="H11" s="15"/>
      <c r="I11" s="130" t="str">
        <f>+O8</f>
        <v>30.06.2017 г.</v>
      </c>
      <c r="J11" s="431">
        <f>+P5-1</f>
        <v>2016</v>
      </c>
      <c r="K11" s="16"/>
      <c r="L11" s="128" t="str">
        <f>+O8</f>
        <v>30.06.2017 г.</v>
      </c>
      <c r="M11" s="432">
        <f>+P5-1</f>
        <v>2016</v>
      </c>
      <c r="N11" s="16"/>
      <c r="O11" s="386" t="str">
        <f>+O8</f>
        <v>30.06.2017 г.</v>
      </c>
      <c r="P11" s="433">
        <f>+P5-1</f>
        <v>2016</v>
      </c>
      <c r="Q11" s="384"/>
      <c r="R11" s="600" t="s">
        <v>195</v>
      </c>
      <c r="S11" s="601"/>
      <c r="T11" s="60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603" t="s">
        <v>161</v>
      </c>
      <c r="S15" s="604"/>
      <c r="T15" s="605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9498595</v>
      </c>
      <c r="G16" s="260">
        <v>19468738</v>
      </c>
      <c r="H16" s="15"/>
      <c r="I16" s="261"/>
      <c r="J16" s="260"/>
      <c r="K16" s="256"/>
      <c r="L16" s="261"/>
      <c r="M16" s="260"/>
      <c r="N16" s="256"/>
      <c r="O16" s="393">
        <f t="shared" si="0"/>
        <v>9498595</v>
      </c>
      <c r="P16" s="446">
        <f t="shared" si="0"/>
        <v>19468738</v>
      </c>
      <c r="Q16" s="31"/>
      <c r="R16" s="611" t="s">
        <v>162</v>
      </c>
      <c r="S16" s="612"/>
      <c r="T16" s="613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1937609</v>
      </c>
      <c r="G17" s="260">
        <v>3939730</v>
      </c>
      <c r="H17" s="15"/>
      <c r="I17" s="261"/>
      <c r="J17" s="260"/>
      <c r="K17" s="256"/>
      <c r="L17" s="261"/>
      <c r="M17" s="260"/>
      <c r="N17" s="256"/>
      <c r="O17" s="393">
        <f t="shared" si="0"/>
        <v>1937609</v>
      </c>
      <c r="P17" s="446">
        <f t="shared" si="0"/>
        <v>3939730</v>
      </c>
      <c r="Q17" s="31"/>
      <c r="R17" s="611" t="s">
        <v>163</v>
      </c>
      <c r="S17" s="612"/>
      <c r="T17" s="613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63801</v>
      </c>
      <c r="G18" s="260">
        <v>131619</v>
      </c>
      <c r="H18" s="15"/>
      <c r="I18" s="261">
        <v>4401</v>
      </c>
      <c r="J18" s="260"/>
      <c r="K18" s="256"/>
      <c r="L18" s="261"/>
      <c r="M18" s="260"/>
      <c r="N18" s="256"/>
      <c r="O18" s="393">
        <f t="shared" si="0"/>
        <v>68202</v>
      </c>
      <c r="P18" s="446">
        <f t="shared" si="0"/>
        <v>131619</v>
      </c>
      <c r="Q18" s="31"/>
      <c r="R18" s="611" t="s">
        <v>164</v>
      </c>
      <c r="S18" s="612"/>
      <c r="T18" s="613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212715</v>
      </c>
      <c r="G19" s="260">
        <v>355786</v>
      </c>
      <c r="H19" s="15"/>
      <c r="I19" s="261"/>
      <c r="J19" s="260"/>
      <c r="K19" s="256"/>
      <c r="L19" s="261"/>
      <c r="M19" s="260"/>
      <c r="N19" s="256"/>
      <c r="O19" s="393">
        <f t="shared" si="0"/>
        <v>212715</v>
      </c>
      <c r="P19" s="446">
        <f t="shared" si="0"/>
        <v>355786</v>
      </c>
      <c r="Q19" s="31"/>
      <c r="R19" s="611" t="s">
        <v>165</v>
      </c>
      <c r="S19" s="612"/>
      <c r="T19" s="613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25923765</v>
      </c>
      <c r="G20" s="260">
        <v>33619891</v>
      </c>
      <c r="H20" s="15"/>
      <c r="I20" s="261"/>
      <c r="J20" s="260"/>
      <c r="K20" s="256"/>
      <c r="L20" s="261"/>
      <c r="M20" s="260"/>
      <c r="N20" s="256"/>
      <c r="O20" s="393">
        <f t="shared" si="0"/>
        <v>25923765</v>
      </c>
      <c r="P20" s="446">
        <f t="shared" si="0"/>
        <v>33619891</v>
      </c>
      <c r="Q20" s="31"/>
      <c r="R20" s="611" t="s">
        <v>166</v>
      </c>
      <c r="S20" s="612"/>
      <c r="T20" s="613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1599670</v>
      </c>
      <c r="G21" s="260">
        <v>4154301</v>
      </c>
      <c r="H21" s="15"/>
      <c r="I21" s="261"/>
      <c r="J21" s="260"/>
      <c r="K21" s="256"/>
      <c r="L21" s="261"/>
      <c r="M21" s="260">
        <v>0</v>
      </c>
      <c r="N21" s="256"/>
      <c r="O21" s="393">
        <f t="shared" si="0"/>
        <v>1599670</v>
      </c>
      <c r="P21" s="446">
        <f t="shared" si="0"/>
        <v>4154301</v>
      </c>
      <c r="Q21" s="31"/>
      <c r="R21" s="611" t="s">
        <v>167</v>
      </c>
      <c r="S21" s="612"/>
      <c r="T21" s="613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/>
      <c r="G22" s="260">
        <v>64515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64515</v>
      </c>
      <c r="Q22" s="31"/>
      <c r="R22" s="611" t="s">
        <v>168</v>
      </c>
      <c r="S22" s="612"/>
      <c r="T22" s="613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50573</v>
      </c>
      <c r="G23" s="262">
        <v>282890</v>
      </c>
      <c r="H23" s="15"/>
      <c r="I23" s="263"/>
      <c r="J23" s="262"/>
      <c r="K23" s="256"/>
      <c r="L23" s="263"/>
      <c r="M23" s="262"/>
      <c r="N23" s="256"/>
      <c r="O23" s="394">
        <f t="shared" si="0"/>
        <v>50573</v>
      </c>
      <c r="P23" s="417">
        <f t="shared" si="0"/>
        <v>282890</v>
      </c>
      <c r="Q23" s="31"/>
      <c r="R23" s="614" t="s">
        <v>169</v>
      </c>
      <c r="S23" s="615"/>
      <c r="T23" s="616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39286728</v>
      </c>
      <c r="G24" s="264">
        <f>+ROUND(+SUM(G15:G23),0)</f>
        <v>62017470</v>
      </c>
      <c r="H24" s="15"/>
      <c r="I24" s="265">
        <f>+ROUND(+SUM(I15:I23),0)</f>
        <v>4401</v>
      </c>
      <c r="J24" s="264">
        <f>+ROUND(+SUM(J15:J23),0)</f>
        <v>0</v>
      </c>
      <c r="K24" s="256"/>
      <c r="L24" s="265">
        <f>+ROUND(+SUM(L15:L23),0)</f>
        <v>0</v>
      </c>
      <c r="M24" s="264">
        <f>+ROUND(+SUM(M15:M23),0)</f>
        <v>0</v>
      </c>
      <c r="N24" s="256"/>
      <c r="O24" s="395">
        <f>+ROUND(+SUM(O15:O23),0)</f>
        <v>39291129</v>
      </c>
      <c r="P24" s="396">
        <f>+ROUND(+SUM(P15:P23),0)</f>
        <v>62017470</v>
      </c>
      <c r="Q24" s="31"/>
      <c r="R24" s="617" t="s">
        <v>196</v>
      </c>
      <c r="S24" s="618"/>
      <c r="T24" s="619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>
        <v>887304</v>
      </c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887304</v>
      </c>
      <c r="P26" s="411">
        <f t="shared" si="1"/>
        <v>0</v>
      </c>
      <c r="Q26" s="31"/>
      <c r="R26" s="603" t="s">
        <v>170</v>
      </c>
      <c r="S26" s="604"/>
      <c r="T26" s="60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/>
      <c r="G27" s="260">
        <v>12216</v>
      </c>
      <c r="H27" s="15"/>
      <c r="I27" s="261"/>
      <c r="J27" s="260"/>
      <c r="K27" s="256"/>
      <c r="L27" s="261"/>
      <c r="M27" s="260"/>
      <c r="N27" s="256"/>
      <c r="O27" s="393">
        <f t="shared" si="1"/>
        <v>0</v>
      </c>
      <c r="P27" s="446">
        <f t="shared" si="1"/>
        <v>12216</v>
      </c>
      <c r="Q27" s="31"/>
      <c r="R27" s="611" t="s">
        <v>171</v>
      </c>
      <c r="S27" s="612"/>
      <c r="T27" s="61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14" t="s">
        <v>172</v>
      </c>
      <c r="S28" s="615"/>
      <c r="T28" s="61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887304</v>
      </c>
      <c r="G29" s="264">
        <f>+ROUND(+SUM(G26:G28),0)</f>
        <v>12216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887304</v>
      </c>
      <c r="P29" s="396">
        <f>+ROUND(+SUM(P26:P28),0)</f>
        <v>12216</v>
      </c>
      <c r="Q29" s="31"/>
      <c r="R29" s="617" t="s">
        <v>197</v>
      </c>
      <c r="S29" s="618"/>
      <c r="T29" s="619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f>-5549124-709177</f>
        <v>-6258301</v>
      </c>
      <c r="G36" s="276">
        <v>-10033787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-6258301</v>
      </c>
      <c r="P36" s="396">
        <f t="shared" si="2"/>
        <v>-10033787</v>
      </c>
      <c r="Q36" s="31"/>
      <c r="R36" s="617" t="s">
        <v>198</v>
      </c>
      <c r="S36" s="618"/>
      <c r="T36" s="619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-4740108</v>
      </c>
      <c r="G37" s="278">
        <v>-6217789</v>
      </c>
      <c r="H37" s="15"/>
      <c r="I37" s="279"/>
      <c r="J37" s="278"/>
      <c r="K37" s="256"/>
      <c r="L37" s="279"/>
      <c r="M37" s="278"/>
      <c r="N37" s="256"/>
      <c r="O37" s="408">
        <f t="shared" si="2"/>
        <v>-4740108</v>
      </c>
      <c r="P37" s="447">
        <f t="shared" si="2"/>
        <v>-6217789</v>
      </c>
      <c r="Q37" s="31"/>
      <c r="R37" s="620" t="s">
        <v>173</v>
      </c>
      <c r="S37" s="621"/>
      <c r="T37" s="622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-809016</v>
      </c>
      <c r="G38" s="280">
        <v>-2514766</v>
      </c>
      <c r="H38" s="15"/>
      <c r="I38" s="281"/>
      <c r="J38" s="280"/>
      <c r="K38" s="256"/>
      <c r="L38" s="281"/>
      <c r="M38" s="280"/>
      <c r="N38" s="256"/>
      <c r="O38" s="409">
        <f t="shared" si="2"/>
        <v>-809016</v>
      </c>
      <c r="P38" s="448">
        <f t="shared" si="2"/>
        <v>-2514766</v>
      </c>
      <c r="Q38" s="31"/>
      <c r="R38" s="623" t="s">
        <v>174</v>
      </c>
      <c r="S38" s="624"/>
      <c r="T38" s="625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26" t="s">
        <v>175</v>
      </c>
      <c r="S39" s="627"/>
      <c r="T39" s="628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5965</v>
      </c>
      <c r="G41" s="276">
        <v>9024</v>
      </c>
      <c r="H41" s="15"/>
      <c r="I41" s="277"/>
      <c r="J41" s="276"/>
      <c r="K41" s="256"/>
      <c r="L41" s="277"/>
      <c r="M41" s="276"/>
      <c r="N41" s="256"/>
      <c r="O41" s="395">
        <f>+ROUND(+F41+I41+L41,0)</f>
        <v>5965</v>
      </c>
      <c r="P41" s="396">
        <f>+ROUND(+G41+J41+M41,0)</f>
        <v>9024</v>
      </c>
      <c r="Q41" s="31"/>
      <c r="R41" s="617" t="s">
        <v>199</v>
      </c>
      <c r="S41" s="618"/>
      <c r="T41" s="619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1685</v>
      </c>
      <c r="G43" s="258">
        <v>-449229</v>
      </c>
      <c r="H43" s="15"/>
      <c r="I43" s="259">
        <v>249826</v>
      </c>
      <c r="J43" s="258">
        <v>2043632</v>
      </c>
      <c r="K43" s="256"/>
      <c r="L43" s="259"/>
      <c r="M43" s="258"/>
      <c r="N43" s="256"/>
      <c r="O43" s="398">
        <f aca="true" t="shared" si="3" ref="O43:P46">+ROUND(+F43+I43+L43,0)</f>
        <v>251511</v>
      </c>
      <c r="P43" s="411">
        <f t="shared" si="3"/>
        <v>1594403</v>
      </c>
      <c r="Q43" s="31"/>
      <c r="R43" s="603" t="s">
        <v>176</v>
      </c>
      <c r="S43" s="604"/>
      <c r="T43" s="60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/>
      <c r="G44" s="260"/>
      <c r="H44" s="15"/>
      <c r="I44" s="261"/>
      <c r="J44" s="260"/>
      <c r="K44" s="256"/>
      <c r="L44" s="261"/>
      <c r="M44" s="260"/>
      <c r="N44" s="256"/>
      <c r="O44" s="393">
        <f t="shared" si="3"/>
        <v>0</v>
      </c>
      <c r="P44" s="446">
        <f t="shared" si="3"/>
        <v>0</v>
      </c>
      <c r="Q44" s="31"/>
      <c r="R44" s="611" t="s">
        <v>177</v>
      </c>
      <c r="S44" s="612"/>
      <c r="T44" s="61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/>
      <c r="G45" s="260"/>
      <c r="H45" s="15"/>
      <c r="I45" s="261"/>
      <c r="J45" s="260"/>
      <c r="K45" s="256"/>
      <c r="L45" s="261"/>
      <c r="M45" s="260"/>
      <c r="N45" s="256"/>
      <c r="O45" s="393">
        <f t="shared" si="3"/>
        <v>0</v>
      </c>
      <c r="P45" s="446">
        <f t="shared" si="3"/>
        <v>0</v>
      </c>
      <c r="Q45" s="31"/>
      <c r="R45" s="611" t="s">
        <v>178</v>
      </c>
      <c r="S45" s="612"/>
      <c r="T45" s="613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/>
      <c r="G46" s="262">
        <v>2000</v>
      </c>
      <c r="H46" s="15"/>
      <c r="I46" s="263"/>
      <c r="J46" s="262"/>
      <c r="K46" s="256"/>
      <c r="L46" s="263"/>
      <c r="M46" s="262"/>
      <c r="N46" s="256"/>
      <c r="O46" s="394">
        <f t="shared" si="3"/>
        <v>0</v>
      </c>
      <c r="P46" s="417">
        <f t="shared" si="3"/>
        <v>2000</v>
      </c>
      <c r="Q46" s="31"/>
      <c r="R46" s="614" t="s">
        <v>179</v>
      </c>
      <c r="S46" s="615"/>
      <c r="T46" s="61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1685</v>
      </c>
      <c r="G47" s="264">
        <f>+ROUND(+SUM(G43:G46),0)</f>
        <v>-447229</v>
      </c>
      <c r="H47" s="15"/>
      <c r="I47" s="265">
        <f>+ROUND(+SUM(I43:I46),0)</f>
        <v>249826</v>
      </c>
      <c r="J47" s="264">
        <f>+ROUND(+SUM(J43:J46),0)</f>
        <v>2043632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251511</v>
      </c>
      <c r="P47" s="396">
        <f>+ROUND(+SUM(P43:P46),0)</f>
        <v>1596403</v>
      </c>
      <c r="Q47" s="31"/>
      <c r="R47" s="617" t="s">
        <v>200</v>
      </c>
      <c r="S47" s="618"/>
      <c r="T47" s="619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33923381</v>
      </c>
      <c r="G49" s="286">
        <f>+ROUND(G24+G29+G36+G41+G47,0)</f>
        <v>51557694</v>
      </c>
      <c r="H49" s="15"/>
      <c r="I49" s="287">
        <f>+ROUND(I24+I29+I36+I41+I47,0)</f>
        <v>254227</v>
      </c>
      <c r="J49" s="286">
        <f>+ROUND(J24+J29+J36+J41+J47,0)</f>
        <v>2043632</v>
      </c>
      <c r="K49" s="256"/>
      <c r="L49" s="287">
        <f>+ROUND(L24+L29+L36+L41+L47,0)</f>
        <v>0</v>
      </c>
      <c r="M49" s="286">
        <f>+ROUND(M24+M29+M36+M41+M47,0)</f>
        <v>0</v>
      </c>
      <c r="N49" s="256"/>
      <c r="O49" s="412">
        <f>+ROUND(O24+O29+O36+O41+O47,0)</f>
        <v>34177608</v>
      </c>
      <c r="P49" s="413">
        <f>+ROUND(P24+P29+P36+P41+P47,0)</f>
        <v>53601326</v>
      </c>
      <c r="Q49" s="134"/>
      <c r="R49" s="629" t="s">
        <v>201</v>
      </c>
      <c r="S49" s="630"/>
      <c r="T49" s="63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f>8192844+92578</f>
        <v>8285422</v>
      </c>
      <c r="G52" s="288">
        <v>27162250</v>
      </c>
      <c r="H52" s="15"/>
      <c r="I52" s="289">
        <f>2633943+116350-112</f>
        <v>2750181</v>
      </c>
      <c r="J52" s="288">
        <v>1712905</v>
      </c>
      <c r="K52" s="256"/>
      <c r="L52" s="289"/>
      <c r="M52" s="288"/>
      <c r="N52" s="256"/>
      <c r="O52" s="399">
        <f aca="true" t="shared" si="4" ref="O52:P56">+ROUND(+F52+I52+L52,0)</f>
        <v>11035603</v>
      </c>
      <c r="P52" s="392">
        <f t="shared" si="4"/>
        <v>28875155</v>
      </c>
      <c r="Q52" s="31"/>
      <c r="R52" s="603" t="s">
        <v>202</v>
      </c>
      <c r="S52" s="604"/>
      <c r="T52" s="60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113355</v>
      </c>
      <c r="G53" s="262">
        <v>934762</v>
      </c>
      <c r="H53" s="15"/>
      <c r="I53" s="263">
        <v>112</v>
      </c>
      <c r="J53" s="262">
        <v>75</v>
      </c>
      <c r="K53" s="256"/>
      <c r="L53" s="263"/>
      <c r="M53" s="262"/>
      <c r="N53" s="256"/>
      <c r="O53" s="394">
        <f t="shared" si="4"/>
        <v>113467</v>
      </c>
      <c r="P53" s="417">
        <f t="shared" si="4"/>
        <v>934837</v>
      </c>
      <c r="Q53" s="31"/>
      <c r="R53" s="611" t="s">
        <v>180</v>
      </c>
      <c r="S53" s="612"/>
      <c r="T53" s="61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249199</v>
      </c>
      <c r="G54" s="262">
        <v>502330</v>
      </c>
      <c r="H54" s="15"/>
      <c r="I54" s="263">
        <v>70</v>
      </c>
      <c r="J54" s="262"/>
      <c r="K54" s="256"/>
      <c r="L54" s="263"/>
      <c r="M54" s="262"/>
      <c r="N54" s="256"/>
      <c r="O54" s="394">
        <f t="shared" si="4"/>
        <v>249269</v>
      </c>
      <c r="P54" s="417">
        <f t="shared" si="4"/>
        <v>502330</v>
      </c>
      <c r="Q54" s="31"/>
      <c r="R54" s="611" t="s">
        <v>181</v>
      </c>
      <c r="S54" s="612"/>
      <c r="T54" s="613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f>10980635+1114275</f>
        <v>12094910</v>
      </c>
      <c r="G55" s="262">
        <v>28641466</v>
      </c>
      <c r="H55" s="15"/>
      <c r="I55" s="263">
        <f>844404+21318+51757+19583</f>
        <v>937062</v>
      </c>
      <c r="J55" s="262">
        <v>2003319</v>
      </c>
      <c r="K55" s="256"/>
      <c r="L55" s="263"/>
      <c r="M55" s="262"/>
      <c r="N55" s="256"/>
      <c r="O55" s="394">
        <f t="shared" si="4"/>
        <v>13031972</v>
      </c>
      <c r="P55" s="417">
        <f t="shared" si="4"/>
        <v>30644785</v>
      </c>
      <c r="Q55" s="31"/>
      <c r="R55" s="611" t="s">
        <v>182</v>
      </c>
      <c r="S55" s="612"/>
      <c r="T55" s="613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2948135</v>
      </c>
      <c r="G56" s="262">
        <v>6785871</v>
      </c>
      <c r="H56" s="15"/>
      <c r="I56" s="263">
        <f>17337+229564</f>
        <v>246901</v>
      </c>
      <c r="J56" s="262">
        <v>489954</v>
      </c>
      <c r="K56" s="256"/>
      <c r="L56" s="263"/>
      <c r="M56" s="262"/>
      <c r="N56" s="256"/>
      <c r="O56" s="394">
        <f t="shared" si="4"/>
        <v>3195036</v>
      </c>
      <c r="P56" s="417">
        <f t="shared" si="4"/>
        <v>7275825</v>
      </c>
      <c r="Q56" s="31"/>
      <c r="R56" s="614" t="s">
        <v>183</v>
      </c>
      <c r="S56" s="615"/>
      <c r="T56" s="61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23691021</v>
      </c>
      <c r="G57" s="290">
        <f>+ROUND(+SUM(G52:G56),0)</f>
        <v>64026679</v>
      </c>
      <c r="H57" s="15"/>
      <c r="I57" s="291">
        <f>+ROUND(+SUM(I52:I56),0)</f>
        <v>3934326</v>
      </c>
      <c r="J57" s="290">
        <f>+ROUND(+SUM(J52:J56),0)</f>
        <v>4206253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27625347</v>
      </c>
      <c r="P57" s="415">
        <f>+ROUND(+SUM(P52:P56),0)</f>
        <v>68232932</v>
      </c>
      <c r="Q57" s="31"/>
      <c r="R57" s="617" t="s">
        <v>203</v>
      </c>
      <c r="S57" s="618"/>
      <c r="T57" s="619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603" t="s">
        <v>184</v>
      </c>
      <c r="S59" s="604"/>
      <c r="T59" s="60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6988518</v>
      </c>
      <c r="G60" s="262">
        <v>12630883</v>
      </c>
      <c r="H60" s="15"/>
      <c r="I60" s="263">
        <f>960+2048039</f>
        <v>2048999</v>
      </c>
      <c r="J60" s="262">
        <v>4291853</v>
      </c>
      <c r="K60" s="256"/>
      <c r="L60" s="263"/>
      <c r="M60" s="262"/>
      <c r="N60" s="256"/>
      <c r="O60" s="394">
        <f t="shared" si="5"/>
        <v>9037517</v>
      </c>
      <c r="P60" s="417">
        <f t="shared" si="5"/>
        <v>16922736</v>
      </c>
      <c r="Q60" s="31"/>
      <c r="R60" s="611" t="s">
        <v>185</v>
      </c>
      <c r="S60" s="612"/>
      <c r="T60" s="61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61694</v>
      </c>
      <c r="G61" s="262">
        <v>662290</v>
      </c>
      <c r="H61" s="15"/>
      <c r="I61" s="263">
        <v>821</v>
      </c>
      <c r="J61" s="262"/>
      <c r="K61" s="256"/>
      <c r="L61" s="263"/>
      <c r="M61" s="262"/>
      <c r="N61" s="256"/>
      <c r="O61" s="394">
        <f t="shared" si="5"/>
        <v>62515</v>
      </c>
      <c r="P61" s="417">
        <f t="shared" si="5"/>
        <v>662290</v>
      </c>
      <c r="Q61" s="31"/>
      <c r="R61" s="611" t="s">
        <v>186</v>
      </c>
      <c r="S61" s="612"/>
      <c r="T61" s="613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14" t="s">
        <v>204</v>
      </c>
      <c r="S62" s="615"/>
      <c r="T62" s="61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7050212</v>
      </c>
      <c r="G64" s="290">
        <f>+ROUND(+SUM(G59:G62),0)</f>
        <v>13293173</v>
      </c>
      <c r="H64" s="15"/>
      <c r="I64" s="291">
        <f>+ROUND(+SUM(I59:I62),0)</f>
        <v>2049820</v>
      </c>
      <c r="J64" s="290">
        <f>+ROUND(+SUM(J59:J62),0)</f>
        <v>4291853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9100032</v>
      </c>
      <c r="P64" s="415">
        <f>+ROUND(+SUM(P59:P62),0)</f>
        <v>17585026</v>
      </c>
      <c r="Q64" s="31"/>
      <c r="R64" s="617" t="s">
        <v>206</v>
      </c>
      <c r="S64" s="618"/>
      <c r="T64" s="619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6928492</v>
      </c>
      <c r="G66" s="288">
        <v>15782836</v>
      </c>
      <c r="H66" s="15"/>
      <c r="I66" s="289"/>
      <c r="J66" s="288"/>
      <c r="K66" s="256"/>
      <c r="L66" s="289"/>
      <c r="M66" s="288"/>
      <c r="N66" s="256"/>
      <c r="O66" s="399">
        <f>+ROUND(+F66+I66+L66,0)</f>
        <v>6928492</v>
      </c>
      <c r="P66" s="392">
        <f>+ROUND(+G66+J66+M66,0)</f>
        <v>15782836</v>
      </c>
      <c r="Q66" s="31"/>
      <c r="R66" s="603" t="s">
        <v>187</v>
      </c>
      <c r="S66" s="604"/>
      <c r="T66" s="60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611" t="s">
        <v>188</v>
      </c>
      <c r="S67" s="612"/>
      <c r="T67" s="61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6928492</v>
      </c>
      <c r="G68" s="290">
        <f>+ROUND(+SUM(G66:G67),0)</f>
        <v>15782836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6928492</v>
      </c>
      <c r="P68" s="415">
        <f>+ROUND(+SUM(P66:P67),0)</f>
        <v>15782836</v>
      </c>
      <c r="Q68" s="31"/>
      <c r="R68" s="617" t="s">
        <v>207</v>
      </c>
      <c r="S68" s="618"/>
      <c r="T68" s="61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/>
      <c r="G70" s="288"/>
      <c r="H70" s="15"/>
      <c r="I70" s="289"/>
      <c r="J70" s="288"/>
      <c r="K70" s="256"/>
      <c r="L70" s="289"/>
      <c r="M70" s="288"/>
      <c r="N70" s="256"/>
      <c r="O70" s="399">
        <f>+ROUND(+F70+I70+L70,0)</f>
        <v>0</v>
      </c>
      <c r="P70" s="392">
        <f>+ROUND(+G70+J70+M70,0)</f>
        <v>0</v>
      </c>
      <c r="Q70" s="31"/>
      <c r="R70" s="603" t="s">
        <v>189</v>
      </c>
      <c r="S70" s="604"/>
      <c r="T70" s="60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611" t="s">
        <v>190</v>
      </c>
      <c r="S71" s="612"/>
      <c r="T71" s="61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0</v>
      </c>
      <c r="G72" s="290">
        <f>+ROUND(+SUM(G70:G71),0)</f>
        <v>0</v>
      </c>
      <c r="H72" s="15"/>
      <c r="I72" s="291">
        <f>+ROUND(+SUM(I70:I71),0)</f>
        <v>0</v>
      </c>
      <c r="J72" s="290">
        <f>+ROUND(+SUM(J70:J71),0)</f>
        <v>0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0</v>
      </c>
      <c r="P72" s="415">
        <f>+ROUND(+SUM(P70:P71),0)</f>
        <v>0</v>
      </c>
      <c r="Q72" s="31"/>
      <c r="R72" s="617" t="s">
        <v>208</v>
      </c>
      <c r="S72" s="618"/>
      <c r="T72" s="61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122253371</v>
      </c>
      <c r="G74" s="288">
        <v>188034420</v>
      </c>
      <c r="H74" s="15"/>
      <c r="I74" s="289">
        <v>2781</v>
      </c>
      <c r="J74" s="288"/>
      <c r="K74" s="256"/>
      <c r="L74" s="289"/>
      <c r="M74" s="288"/>
      <c r="N74" s="256"/>
      <c r="O74" s="399">
        <f>+ROUND(+F74+I74+L74,0)</f>
        <v>122256152</v>
      </c>
      <c r="P74" s="392">
        <f>+ROUND(+G74+J74+M74,0)</f>
        <v>188034420</v>
      </c>
      <c r="Q74" s="31"/>
      <c r="R74" s="603" t="s">
        <v>191</v>
      </c>
      <c r="S74" s="604"/>
      <c r="T74" s="60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/>
      <c r="G75" s="262">
        <v>-212096</v>
      </c>
      <c r="H75" s="15"/>
      <c r="I75" s="263"/>
      <c r="J75" s="262">
        <v>464242</v>
      </c>
      <c r="K75" s="256"/>
      <c r="L75" s="263"/>
      <c r="M75" s="262"/>
      <c r="N75" s="256"/>
      <c r="O75" s="394">
        <f>+ROUND(+F75+I75+L75,0)</f>
        <v>0</v>
      </c>
      <c r="P75" s="417">
        <f>+ROUND(+G75+J75+M75,0)</f>
        <v>252146</v>
      </c>
      <c r="Q75" s="31"/>
      <c r="R75" s="611" t="s">
        <v>209</v>
      </c>
      <c r="S75" s="612"/>
      <c r="T75" s="61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122253371</v>
      </c>
      <c r="G76" s="290">
        <f>+ROUND(+SUM(G74:G75),0)</f>
        <v>187822324</v>
      </c>
      <c r="H76" s="15"/>
      <c r="I76" s="291">
        <f>+ROUND(+SUM(I74:I75),0)</f>
        <v>2781</v>
      </c>
      <c r="J76" s="290">
        <f>+ROUND(+SUM(J74:J75),0)</f>
        <v>464242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122256152</v>
      </c>
      <c r="P76" s="415">
        <f>+ROUND(+SUM(P74:P75),0)</f>
        <v>188286566</v>
      </c>
      <c r="Q76" s="31"/>
      <c r="R76" s="617" t="s">
        <v>210</v>
      </c>
      <c r="S76" s="618"/>
      <c r="T76" s="61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159923096</v>
      </c>
      <c r="G78" s="301">
        <f>+ROUND(G57+G64+G68+G72+G76,0)</f>
        <v>280925012</v>
      </c>
      <c r="H78" s="15"/>
      <c r="I78" s="298">
        <f>+ROUND(I57+I64+I68+I72+I76,0)</f>
        <v>5986927</v>
      </c>
      <c r="J78" s="301">
        <f>+ROUND(J57+J64+J68+J72+J76,0)</f>
        <v>8962348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165910023</v>
      </c>
      <c r="P78" s="425">
        <f>+ROUND(P57+P64+P68+P72+P76,0)</f>
        <v>289887360</v>
      </c>
      <c r="Q78" s="31"/>
      <c r="R78" s="632" t="s">
        <v>211</v>
      </c>
      <c r="S78" s="633"/>
      <c r="T78" s="63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109637606</v>
      </c>
      <c r="G80" s="258">
        <v>434772793</v>
      </c>
      <c r="H80" s="15"/>
      <c r="I80" s="259">
        <f>1578035+3995913+65888+17994</f>
        <v>5657830</v>
      </c>
      <c r="J80" s="258">
        <v>9168333</v>
      </c>
      <c r="K80" s="256"/>
      <c r="L80" s="259"/>
      <c r="M80" s="258"/>
      <c r="N80" s="256"/>
      <c r="O80" s="398">
        <f>+ROUND(+F80+I80+L80,0)</f>
        <v>115295436</v>
      </c>
      <c r="P80" s="411">
        <f>+ROUND(+G80+J80+M80,0)</f>
        <v>443941126</v>
      </c>
      <c r="Q80" s="31"/>
      <c r="R80" s="603" t="s">
        <v>192</v>
      </c>
      <c r="S80" s="604"/>
      <c r="T80" s="60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-643530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-643530</v>
      </c>
      <c r="Q81" s="31"/>
      <c r="R81" s="611" t="s">
        <v>193</v>
      </c>
      <c r="S81" s="612"/>
      <c r="T81" s="61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109637606</v>
      </c>
      <c r="G82" s="299">
        <f>+ROUND(G80+G81,0)</f>
        <v>434772793</v>
      </c>
      <c r="H82" s="15"/>
      <c r="I82" s="300">
        <f>+ROUND(I80+I81,0)</f>
        <v>5657830</v>
      </c>
      <c r="J82" s="299">
        <f>+ROUND(J80+J81,0)</f>
        <v>8524803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115295436</v>
      </c>
      <c r="P82" s="420">
        <f>+ROUND(P80+P81,0)</f>
        <v>443297596</v>
      </c>
      <c r="Q82" s="31"/>
      <c r="R82" s="635" t="s">
        <v>212</v>
      </c>
      <c r="S82" s="636"/>
      <c r="T82" s="637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589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590"/>
      <c r="D83" s="591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-16362109</v>
      </c>
      <c r="G84" s="320">
        <f>+ROUND(G49,0)-ROUND(G78,0)+ROUND(G82,0)</f>
        <v>205405475</v>
      </c>
      <c r="H84" s="15"/>
      <c r="I84" s="321">
        <f>+ROUND(I49,0)-ROUND(I78,0)+ROUND(I82,0)</f>
        <v>-74870</v>
      </c>
      <c r="J84" s="320">
        <f>+ROUND(J49,0)-ROUND(J78,0)+ROUND(J82,0)</f>
        <v>1606087</v>
      </c>
      <c r="K84" s="256"/>
      <c r="L84" s="321">
        <f>+ROUND(L49,0)-ROUND(L78,0)+ROUND(L82,0)</f>
        <v>0</v>
      </c>
      <c r="M84" s="320">
        <f>+ROUND(M49,0)-ROUND(M78,0)+ROUND(M82,0)</f>
        <v>0</v>
      </c>
      <c r="N84" s="256"/>
      <c r="O84" s="421">
        <f>+ROUND(O49,0)-ROUND(O78,0)+ROUND(O82,0)</f>
        <v>-16436979</v>
      </c>
      <c r="P84" s="422">
        <f>+ROUND(P49,0)-ROUND(P78,0)+ROUND(P82,0)</f>
        <v>207011562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16362109</v>
      </c>
      <c r="G85" s="322">
        <f>+ROUND(G102,0)+ROUND(G121,0)+ROUND(G127,0)-ROUND(G132,0)</f>
        <v>-205405475</v>
      </c>
      <c r="H85" s="15"/>
      <c r="I85" s="323">
        <f>+ROUND(I102,0)+ROUND(I121,0)+ROUND(I127,0)-ROUND(I132,0)</f>
        <v>74870</v>
      </c>
      <c r="J85" s="322">
        <f>+ROUND(J102,0)+ROUND(J121,0)+ROUND(J127,0)-ROUND(J132,0)</f>
        <v>-1606087</v>
      </c>
      <c r="K85" s="256"/>
      <c r="L85" s="323">
        <f>+ROUND(L102,0)+ROUND(L121,0)+ROUND(L127,0)-ROUND(L132,0)</f>
        <v>0</v>
      </c>
      <c r="M85" s="322">
        <f>+ROUND(M102,0)+ROUND(M121,0)+ROUND(M127,0)-ROUND(M132,0)</f>
        <v>0</v>
      </c>
      <c r="N85" s="256"/>
      <c r="O85" s="423">
        <f>+ROUND(O102,0)+ROUND(O121,0)+ROUND(O127,0)-ROUND(O132,0)</f>
        <v>16436979</v>
      </c>
      <c r="P85" s="424">
        <f>+ROUND(P102,0)+ROUND(P121,0)+ROUND(P127,0)-ROUND(P132,0)</f>
        <v>-207011562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603" t="s">
        <v>213</v>
      </c>
      <c r="S88" s="604"/>
      <c r="T88" s="605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/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0</v>
      </c>
      <c r="Q89" s="31"/>
      <c r="R89" s="611" t="s">
        <v>214</v>
      </c>
      <c r="S89" s="612"/>
      <c r="T89" s="61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0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0</v>
      </c>
      <c r="Q90" s="31"/>
      <c r="R90" s="617" t="s">
        <v>215</v>
      </c>
      <c r="S90" s="618"/>
      <c r="T90" s="61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>
        <v>-208000000</v>
      </c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-208000000</v>
      </c>
      <c r="Q92" s="31"/>
      <c r="R92" s="603" t="s">
        <v>216</v>
      </c>
      <c r="S92" s="604"/>
      <c r="T92" s="60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f>35000000+5331751</f>
        <v>40331751</v>
      </c>
      <c r="G93" s="262">
        <v>65687947</v>
      </c>
      <c r="H93" s="15"/>
      <c r="I93" s="263"/>
      <c r="J93" s="262"/>
      <c r="K93" s="256"/>
      <c r="L93" s="263"/>
      <c r="M93" s="262"/>
      <c r="N93" s="256"/>
      <c r="O93" s="394">
        <f t="shared" si="6"/>
        <v>40331751</v>
      </c>
      <c r="P93" s="417">
        <f t="shared" si="6"/>
        <v>65687947</v>
      </c>
      <c r="Q93" s="31"/>
      <c r="R93" s="611" t="s">
        <v>217</v>
      </c>
      <c r="S93" s="612"/>
      <c r="T93" s="61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611" t="s">
        <v>218</v>
      </c>
      <c r="S94" s="612"/>
      <c r="T94" s="613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14" t="s">
        <v>219</v>
      </c>
      <c r="S95" s="615"/>
      <c r="T95" s="61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40331751</v>
      </c>
      <c r="G96" s="264">
        <f>+ROUND(+SUM(G92:G95),0)</f>
        <v>-142312053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40331751</v>
      </c>
      <c r="P96" s="396">
        <f>+ROUND(+SUM(P92:P95),0)</f>
        <v>-142312053</v>
      </c>
      <c r="Q96" s="31"/>
      <c r="R96" s="617" t="s">
        <v>220</v>
      </c>
      <c r="S96" s="618"/>
      <c r="T96" s="619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603" t="s">
        <v>221</v>
      </c>
      <c r="S98" s="604"/>
      <c r="T98" s="60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44626</v>
      </c>
      <c r="G99" s="262">
        <v>32580</v>
      </c>
      <c r="H99" s="15"/>
      <c r="I99" s="263"/>
      <c r="J99" s="262"/>
      <c r="K99" s="256"/>
      <c r="L99" s="263"/>
      <c r="M99" s="262"/>
      <c r="N99" s="256"/>
      <c r="O99" s="394">
        <f>+ROUND(+F99+I99+L99,0)</f>
        <v>44626</v>
      </c>
      <c r="P99" s="417">
        <f>+ROUND(+G99+J99+M99,0)</f>
        <v>32580</v>
      </c>
      <c r="Q99" s="31"/>
      <c r="R99" s="611" t="s">
        <v>222</v>
      </c>
      <c r="S99" s="612"/>
      <c r="T99" s="61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44626</v>
      </c>
      <c r="G100" s="264">
        <f>+ROUND(+SUM(G98:G99),0)</f>
        <v>32580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44626</v>
      </c>
      <c r="P100" s="396">
        <f>+ROUND(+SUM(P98:P99),0)</f>
        <v>32580</v>
      </c>
      <c r="Q100" s="31"/>
      <c r="R100" s="617" t="s">
        <v>223</v>
      </c>
      <c r="S100" s="618"/>
      <c r="T100" s="61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40376377</v>
      </c>
      <c r="G102" s="286">
        <f>+ROUND(G90+G96+G100,0)</f>
        <v>-142279473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40376377</v>
      </c>
      <c r="P102" s="413">
        <f>+ROUND(P90+P96+P100,0)</f>
        <v>-142279473</v>
      </c>
      <c r="Q102" s="134"/>
      <c r="R102" s="629" t="s">
        <v>224</v>
      </c>
      <c r="S102" s="630"/>
      <c r="T102" s="631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603" t="s">
        <v>225</v>
      </c>
      <c r="S105" s="604"/>
      <c r="T105" s="605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611" t="s">
        <v>226</v>
      </c>
      <c r="S106" s="612"/>
      <c r="T106" s="61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617" t="s">
        <v>227</v>
      </c>
      <c r="S107" s="618"/>
      <c r="T107" s="61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641" t="s">
        <v>228</v>
      </c>
      <c r="S109" s="642"/>
      <c r="T109" s="6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-23187025</v>
      </c>
      <c r="G110" s="262">
        <v>-66289077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-23187025</v>
      </c>
      <c r="P110" s="417">
        <f>+ROUND(+G110+J110+M110,0)</f>
        <v>-66289077</v>
      </c>
      <c r="Q110" s="31"/>
      <c r="R110" s="644" t="s">
        <v>229</v>
      </c>
      <c r="S110" s="645"/>
      <c r="T110" s="64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-23187025</v>
      </c>
      <c r="G111" s="290">
        <f>+ROUND(+SUM(G109:G110),0)</f>
        <v>-66289077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-23187025</v>
      </c>
      <c r="P111" s="415">
        <f>+ROUND(+SUM(P109:P110),0)</f>
        <v>-66289077</v>
      </c>
      <c r="Q111" s="31"/>
      <c r="R111" s="617" t="s">
        <v>230</v>
      </c>
      <c r="S111" s="618"/>
      <c r="T111" s="619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603" t="s">
        <v>231</v>
      </c>
      <c r="S113" s="604"/>
      <c r="T113" s="605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611" t="s">
        <v>232</v>
      </c>
      <c r="S114" s="612"/>
      <c r="T114" s="61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617" t="s">
        <v>233</v>
      </c>
      <c r="S115" s="618"/>
      <c r="T115" s="61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-5533</v>
      </c>
      <c r="G117" s="288">
        <v>14325</v>
      </c>
      <c r="H117" s="15"/>
      <c r="I117" s="289"/>
      <c r="J117" s="288"/>
      <c r="K117" s="256"/>
      <c r="L117" s="289">
        <v>90744</v>
      </c>
      <c r="M117" s="288">
        <v>-183451</v>
      </c>
      <c r="N117" s="256"/>
      <c r="O117" s="399">
        <f>+ROUND(+F117+I117+L117,0)</f>
        <v>85211</v>
      </c>
      <c r="P117" s="392">
        <f>+ROUND(+G117+J117+M117,0)</f>
        <v>-169126</v>
      </c>
      <c r="Q117" s="31"/>
      <c r="R117" s="603" t="s">
        <v>234</v>
      </c>
      <c r="S117" s="604"/>
      <c r="T117" s="605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25478</v>
      </c>
      <c r="G118" s="262">
        <v>-2026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25478</v>
      </c>
      <c r="P118" s="417">
        <f>+ROUND(+G118+J118+M118,0)</f>
        <v>-2026</v>
      </c>
      <c r="Q118" s="31"/>
      <c r="R118" s="611" t="s">
        <v>235</v>
      </c>
      <c r="S118" s="612"/>
      <c r="T118" s="61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19945</v>
      </c>
      <c r="G119" s="290">
        <f>+ROUND(+SUM(G117:G118),0)</f>
        <v>12299</v>
      </c>
      <c r="H119" s="15"/>
      <c r="I119" s="291">
        <f>+ROUND(+SUM(I117:I118),0)</f>
        <v>0</v>
      </c>
      <c r="J119" s="290">
        <f>+ROUND(+SUM(J117:J118),0)</f>
        <v>0</v>
      </c>
      <c r="K119" s="256"/>
      <c r="L119" s="291">
        <f>+ROUND(+SUM(L117:L118),0)</f>
        <v>90744</v>
      </c>
      <c r="M119" s="290">
        <f>+ROUND(+SUM(M117:M118),0)</f>
        <v>-183451</v>
      </c>
      <c r="N119" s="256"/>
      <c r="O119" s="414">
        <f>+ROUND(+SUM(O117:O118),0)</f>
        <v>110689</v>
      </c>
      <c r="P119" s="415">
        <f>+ROUND(+SUM(P117:P118),0)</f>
        <v>-171152</v>
      </c>
      <c r="Q119" s="31"/>
      <c r="R119" s="617" t="s">
        <v>236</v>
      </c>
      <c r="S119" s="618"/>
      <c r="T119" s="61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-23167080</v>
      </c>
      <c r="G121" s="301">
        <f>+ROUND(G107+G111+G115+G119,0)</f>
        <v>-66276778</v>
      </c>
      <c r="H121" s="15"/>
      <c r="I121" s="298">
        <f>+ROUND(I107+I111+I115+I119,0)</f>
        <v>0</v>
      </c>
      <c r="J121" s="301">
        <f>+ROUND(J107+J111+J115+J119,0)</f>
        <v>0</v>
      </c>
      <c r="K121" s="256"/>
      <c r="L121" s="298">
        <f>+ROUND(L107+L111+L115+L119,0)</f>
        <v>90744</v>
      </c>
      <c r="M121" s="301">
        <f>+ROUND(M107+M111+M115+M119,0)</f>
        <v>-183451</v>
      </c>
      <c r="N121" s="256"/>
      <c r="O121" s="418">
        <f>+ROUND(O107+O111+O115+O119,0)</f>
        <v>-23076336</v>
      </c>
      <c r="P121" s="425">
        <f>+ROUND(P107+P111+P115+P119,0)</f>
        <v>-66460229</v>
      </c>
      <c r="Q121" s="31"/>
      <c r="R121" s="632" t="s">
        <v>237</v>
      </c>
      <c r="S121" s="633"/>
      <c r="T121" s="63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>
        <v>15209</v>
      </c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15209</v>
      </c>
      <c r="P123" s="411">
        <f t="shared" si="7"/>
        <v>0</v>
      </c>
      <c r="Q123" s="31"/>
      <c r="R123" s="603" t="s">
        <v>238</v>
      </c>
      <c r="S123" s="604"/>
      <c r="T123" s="605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138180</v>
      </c>
      <c r="G124" s="262">
        <v>2393123</v>
      </c>
      <c r="H124" s="15"/>
      <c r="I124" s="263">
        <v>-138180</v>
      </c>
      <c r="J124" s="262">
        <v>-1602906</v>
      </c>
      <c r="K124" s="256"/>
      <c r="L124" s="263"/>
      <c r="M124" s="262"/>
      <c r="N124" s="256"/>
      <c r="O124" s="394">
        <f t="shared" si="7"/>
        <v>0</v>
      </c>
      <c r="P124" s="417">
        <f t="shared" si="7"/>
        <v>790217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f>-486080-213050</f>
        <v>-699130</v>
      </c>
      <c r="G125" s="262">
        <v>-148815</v>
      </c>
      <c r="H125" s="15"/>
      <c r="I125" s="263">
        <f>8909+204141</f>
        <v>213050</v>
      </c>
      <c r="J125" s="262">
        <v>-3181</v>
      </c>
      <c r="K125" s="256"/>
      <c r="L125" s="263"/>
      <c r="M125" s="262">
        <v>-137402</v>
      </c>
      <c r="N125" s="256"/>
      <c r="O125" s="394">
        <f t="shared" si="7"/>
        <v>-486080</v>
      </c>
      <c r="P125" s="417">
        <f t="shared" si="7"/>
        <v>-289398</v>
      </c>
      <c r="Q125" s="31"/>
      <c r="R125" s="611" t="s">
        <v>246</v>
      </c>
      <c r="S125" s="612"/>
      <c r="T125" s="613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38" t="s">
        <v>240</v>
      </c>
      <c r="S126" s="639"/>
      <c r="T126" s="64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-545741</v>
      </c>
      <c r="G127" s="299">
        <f>+ROUND(+SUM(G123:G126),0)</f>
        <v>2244308</v>
      </c>
      <c r="H127" s="15"/>
      <c r="I127" s="300">
        <f>+ROUND(+SUM(I123:I126),0)</f>
        <v>74870</v>
      </c>
      <c r="J127" s="299">
        <f>+ROUND(+SUM(J123:J126),0)</f>
        <v>-1606087</v>
      </c>
      <c r="K127" s="256"/>
      <c r="L127" s="300">
        <f>+ROUND(+SUM(L123:L126),0)</f>
        <v>0</v>
      </c>
      <c r="M127" s="299">
        <f>+ROUND(+SUM(M123:M126),0)</f>
        <v>-137402</v>
      </c>
      <c r="N127" s="256"/>
      <c r="O127" s="419">
        <f>+ROUND(+SUM(O123:O126),0)</f>
        <v>-470871</v>
      </c>
      <c r="P127" s="420">
        <f>+ROUND(+SUM(P123:P126),0)</f>
        <v>500819</v>
      </c>
      <c r="Q127" s="31"/>
      <c r="R127" s="635" t="s">
        <v>241</v>
      </c>
      <c r="S127" s="636"/>
      <c r="T127" s="637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141004</v>
      </c>
      <c r="G129" s="258">
        <v>1118061</v>
      </c>
      <c r="H129" s="15"/>
      <c r="I129" s="259">
        <v>45010</v>
      </c>
      <c r="J129" s="258">
        <v>44698</v>
      </c>
      <c r="K129" s="256"/>
      <c r="L129" s="259">
        <f>20284+222180+731990</f>
        <v>974454</v>
      </c>
      <c r="M129" s="258">
        <v>1295307</v>
      </c>
      <c r="N129" s="256"/>
      <c r="O129" s="398">
        <f aca="true" t="shared" si="8" ref="O129:P131">+ROUND(+F129+I129+L129,0)</f>
        <v>1160468</v>
      </c>
      <c r="P129" s="411">
        <f t="shared" si="8"/>
        <v>2458066</v>
      </c>
      <c r="Q129" s="31"/>
      <c r="R129" s="603" t="s">
        <v>242</v>
      </c>
      <c r="S129" s="604"/>
      <c r="T129" s="605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-6712</v>
      </c>
      <c r="G130" s="262">
        <v>-55380</v>
      </c>
      <c r="H130" s="15"/>
      <c r="I130" s="263">
        <v>-787</v>
      </c>
      <c r="J130" s="262">
        <v>312</v>
      </c>
      <c r="K130" s="256"/>
      <c r="L130" s="263">
        <v>-1219</v>
      </c>
      <c r="M130" s="262"/>
      <c r="N130" s="256"/>
      <c r="O130" s="394">
        <f t="shared" si="8"/>
        <v>-8718</v>
      </c>
      <c r="P130" s="417">
        <f t="shared" si="8"/>
        <v>-55068</v>
      </c>
      <c r="Q130" s="31"/>
      <c r="R130" s="611" t="s">
        <v>243</v>
      </c>
      <c r="S130" s="612"/>
      <c r="T130" s="613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435739</v>
      </c>
      <c r="G131" s="262">
        <v>156213</v>
      </c>
      <c r="H131" s="15"/>
      <c r="I131" s="263">
        <v>44223</v>
      </c>
      <c r="J131" s="262">
        <v>45010</v>
      </c>
      <c r="K131" s="256"/>
      <c r="L131" s="263">
        <f>-(-196411-164011-703557)</f>
        <v>1063979</v>
      </c>
      <c r="M131" s="262">
        <v>974454</v>
      </c>
      <c r="N131" s="256"/>
      <c r="O131" s="394">
        <f t="shared" si="8"/>
        <v>1543941</v>
      </c>
      <c r="P131" s="417">
        <f t="shared" si="8"/>
        <v>1175677</v>
      </c>
      <c r="Q131" s="31"/>
      <c r="R131" s="652" t="s">
        <v>244</v>
      </c>
      <c r="S131" s="653"/>
      <c r="T131" s="65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301447</v>
      </c>
      <c r="G132" s="304">
        <f>+ROUND(+G131-G129-G130,0)</f>
        <v>-906468</v>
      </c>
      <c r="H132" s="15"/>
      <c r="I132" s="305">
        <f>+ROUND(+I131-I129-I130,0)</f>
        <v>0</v>
      </c>
      <c r="J132" s="304">
        <f>+ROUND(+J131-J129-J130,0)</f>
        <v>0</v>
      </c>
      <c r="K132" s="256"/>
      <c r="L132" s="305">
        <f>+ROUND(+L131-L129-L130,0)</f>
        <v>90744</v>
      </c>
      <c r="M132" s="304">
        <f>+ROUND(+M131-M129-M130,0)</f>
        <v>-320853</v>
      </c>
      <c r="N132" s="256"/>
      <c r="O132" s="428">
        <f>+ROUND(+O131-O129-O130,0)</f>
        <v>392191</v>
      </c>
      <c r="P132" s="429">
        <f>+ROUND(+P131-P129-P130,0)</f>
        <v>-1227321</v>
      </c>
      <c r="Q132" s="31"/>
      <c r="R132" s="649" t="s">
        <v>245</v>
      </c>
      <c r="S132" s="650"/>
      <c r="T132" s="651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59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592"/>
      <c r="D133" s="592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18072017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582" t="s">
        <v>353</v>
      </c>
      <c r="G141" s="583"/>
      <c r="H141" s="583"/>
      <c r="I141" s="584"/>
      <c r="J141" s="378"/>
      <c r="K141" s="16"/>
      <c r="L141" s="378" t="s">
        <v>250</v>
      </c>
      <c r="M141" s="582" t="s">
        <v>354</v>
      </c>
      <c r="N141" s="583"/>
      <c r="O141" s="583"/>
      <c r="P141" s="584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88:T88"/>
    <mergeCell ref="R89:T89"/>
    <mergeCell ref="R90:T90"/>
    <mergeCell ref="R92:T92"/>
    <mergeCell ref="R93:T93"/>
    <mergeCell ref="R94:T94"/>
    <mergeCell ref="R75:T75"/>
    <mergeCell ref="R76:T76"/>
    <mergeCell ref="R78:T78"/>
    <mergeCell ref="R80:T80"/>
    <mergeCell ref="R81:T81"/>
    <mergeCell ref="R82:T82"/>
    <mergeCell ref="R67:T67"/>
    <mergeCell ref="R68:T68"/>
    <mergeCell ref="R70:T70"/>
    <mergeCell ref="R71:T71"/>
    <mergeCell ref="R72:T72"/>
    <mergeCell ref="R74:T74"/>
    <mergeCell ref="R59:T59"/>
    <mergeCell ref="R60:T60"/>
    <mergeCell ref="R61:T61"/>
    <mergeCell ref="R62:T62"/>
    <mergeCell ref="R64:T64"/>
    <mergeCell ref="R66:T66"/>
    <mergeCell ref="R52:T52"/>
    <mergeCell ref="R53:T53"/>
    <mergeCell ref="R54:T54"/>
    <mergeCell ref="R55:T55"/>
    <mergeCell ref="R56:T56"/>
    <mergeCell ref="R57:T57"/>
    <mergeCell ref="R43:T43"/>
    <mergeCell ref="R44:T44"/>
    <mergeCell ref="R45:T45"/>
    <mergeCell ref="R46:T46"/>
    <mergeCell ref="R47:T47"/>
    <mergeCell ref="R49:T49"/>
    <mergeCell ref="R29:T29"/>
    <mergeCell ref="R36:T36"/>
    <mergeCell ref="R37:T37"/>
    <mergeCell ref="R38:T38"/>
    <mergeCell ref="R39:T39"/>
    <mergeCell ref="R41:T41"/>
    <mergeCell ref="R22:T22"/>
    <mergeCell ref="R23:T23"/>
    <mergeCell ref="R24:T24"/>
    <mergeCell ref="R26:T26"/>
    <mergeCell ref="R27:T27"/>
    <mergeCell ref="R28:T28"/>
    <mergeCell ref="R16:T16"/>
    <mergeCell ref="R17:T17"/>
    <mergeCell ref="R18:T18"/>
    <mergeCell ref="R19:T19"/>
    <mergeCell ref="R20:T20"/>
    <mergeCell ref="R21:T21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47" r:id="rId3"/>
  <headerFooter>
    <oddHeader>&amp;C&amp;"Times New Roman,Italic"&amp;10- &amp;P / &amp;N -</oddHeader>
  </headerFooter>
  <rowBreaks count="2" manualBreakCount="2">
    <brk id="57" min="1" max="19" man="1"/>
    <brk id="102" min="1" max="19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1 K112:L116 K148:L148 K29:L35 K142:L142 K96:L110 K132:L132 K128:L128 K24:L24 K61:L82 K144:L145 K143 N144:O145 N143 K53:L59 K52 K118:L125 K117 K129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PageLayoutView="0" workbookViewId="0" topLeftCell="A1">
      <pane xSplit="5" ySplit="12" topLeftCell="F106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40" sqref="C14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55" t="str">
        <f>+'Cash-Flow-2017-Leva'!B1:F1</f>
        <v>МТИТС</v>
      </c>
      <c r="C1" s="656"/>
      <c r="D1" s="656"/>
      <c r="E1" s="656"/>
      <c r="F1" s="657"/>
      <c r="G1" s="472" t="s">
        <v>274</v>
      </c>
      <c r="H1" s="149"/>
      <c r="I1" s="658">
        <f>+'Cash-Flow-2017-Leva'!I1:J1</f>
        <v>695388</v>
      </c>
      <c r="J1" s="659"/>
      <c r="K1" s="473"/>
      <c r="L1" s="474" t="s">
        <v>275</v>
      </c>
      <c r="M1" s="475">
        <f>+'Cash-Flow-2017-Leva'!M1</f>
        <v>2300</v>
      </c>
      <c r="N1" s="473"/>
      <c r="O1" s="474" t="s">
        <v>267</v>
      </c>
      <c r="P1" s="487">
        <f>+'Cash-Flow-2017-Leva'!P1</f>
        <v>29409459</v>
      </c>
      <c r="Q1" s="478"/>
      <c r="R1" s="482" t="s">
        <v>249</v>
      </c>
      <c r="S1" s="660">
        <f>+'Cash-Flow-2017-Leva'!$S$1</f>
        <v>2300</v>
      </c>
      <c r="T1" s="661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62" t="s">
        <v>279</v>
      </c>
      <c r="C2" s="663"/>
      <c r="D2" s="663"/>
      <c r="E2" s="663"/>
      <c r="F2" s="664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65" t="str">
        <f>+'Cash-Flow-2017-Leva'!B3:F3</f>
        <v>[Седалище и адрес]</v>
      </c>
      <c r="C3" s="666"/>
      <c r="D3" s="666"/>
      <c r="E3" s="666"/>
      <c r="F3" s="667"/>
      <c r="G3" s="479" t="s">
        <v>266</v>
      </c>
      <c r="H3" s="668" t="str">
        <f>+'Cash-Flow-2017-Leva'!H3</f>
        <v>www.mtitc.government.bg</v>
      </c>
      <c r="I3" s="669"/>
      <c r="J3" s="669"/>
      <c r="K3" s="670"/>
      <c r="L3" s="51" t="s">
        <v>276</v>
      </c>
      <c r="M3" s="671" t="str">
        <f>+'Cash-Flow-2017-Leva'!M3:P3</f>
        <v>mdimova@mtitc.government.bg</v>
      </c>
      <c r="N3" s="672"/>
      <c r="O3" s="672"/>
      <c r="P3" s="673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75" t="s">
        <v>273</v>
      </c>
      <c r="E5" s="675"/>
      <c r="F5" s="675"/>
      <c r="G5" s="675"/>
      <c r="H5" s="675"/>
      <c r="I5" s="675"/>
      <c r="J5" s="675"/>
      <c r="K5" s="675"/>
      <c r="L5" s="675"/>
      <c r="M5" s="39"/>
      <c r="N5" s="39"/>
      <c r="O5" s="53" t="s">
        <v>22</v>
      </c>
      <c r="P5" s="485">
        <f>+'Cash-Flow-2017-Leva'!P5</f>
        <v>2017</v>
      </c>
      <c r="Q5" s="39"/>
      <c r="R5" s="674" t="s">
        <v>194</v>
      </c>
      <c r="S5" s="674"/>
      <c r="T5" s="674"/>
      <c r="U5" s="6"/>
    </row>
    <row r="6" spans="1:28" s="3" customFormat="1" ht="17.25" customHeight="1">
      <c r="A6" s="6"/>
      <c r="B6" s="52" t="s">
        <v>271</v>
      </c>
      <c r="C6" s="52"/>
      <c r="D6" s="675" t="s">
        <v>272</v>
      </c>
      <c r="E6" s="675"/>
      <c r="F6" s="675"/>
      <c r="G6" s="675"/>
      <c r="H6" s="675"/>
      <c r="I6" s="675"/>
      <c r="J6" s="675"/>
      <c r="K6" s="675"/>
      <c r="L6" s="675"/>
      <c r="M6" s="42"/>
      <c r="N6" s="5"/>
      <c r="O6" s="6"/>
      <c r="P6" s="6"/>
      <c r="Q6" s="1"/>
      <c r="R6" s="676">
        <f>+P4</f>
        <v>0</v>
      </c>
      <c r="S6" s="676"/>
      <c r="T6" s="676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77" t="str">
        <f>+B1</f>
        <v>МТИТС</v>
      </c>
      <c r="E8" s="677"/>
      <c r="F8" s="677"/>
      <c r="G8" s="677"/>
      <c r="H8" s="677"/>
      <c r="I8" s="677"/>
      <c r="J8" s="677"/>
      <c r="K8" s="677"/>
      <c r="L8" s="677"/>
      <c r="M8" s="480" t="s">
        <v>277</v>
      </c>
      <c r="N8" s="5"/>
      <c r="O8" s="483" t="str">
        <f>+'Cash-Flow-2017-Leva'!O8</f>
        <v>30.06.2017 г.</v>
      </c>
      <c r="P8" s="481" t="s">
        <v>8</v>
      </c>
      <c r="Q8" s="1"/>
      <c r="R8" s="678">
        <f>+P5</f>
        <v>2017</v>
      </c>
      <c r="S8" s="679"/>
      <c r="T8" s="680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30.06.2017 г.</v>
      </c>
      <c r="G11" s="430">
        <f>+'Cash-Flow-2017-Leva'!G11</f>
        <v>2016</v>
      </c>
      <c r="H11" s="5"/>
      <c r="I11" s="130" t="str">
        <f>+O8</f>
        <v>30.06.2017 г.</v>
      </c>
      <c r="J11" s="431">
        <f>+'Cash-Flow-2017-Leva'!J11</f>
        <v>2016</v>
      </c>
      <c r="K11" s="5"/>
      <c r="L11" s="128" t="str">
        <f>+O8</f>
        <v>30.06.2017 г.</v>
      </c>
      <c r="M11" s="432">
        <f>+'Cash-Flow-2017-Leva'!M11</f>
        <v>2016</v>
      </c>
      <c r="N11" s="511"/>
      <c r="O11" s="386" t="str">
        <f>+O8</f>
        <v>30.06.2017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9498.595</v>
      </c>
      <c r="G16" s="307">
        <f>+'Cash-Flow-2017-Leva'!G16/1000</f>
        <v>19468.738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9498.595</v>
      </c>
      <c r="P16" s="446">
        <f t="shared" si="1"/>
        <v>19468.738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1937.609</v>
      </c>
      <c r="G17" s="307">
        <f>+'Cash-Flow-2017-Leva'!G17/1000</f>
        <v>3939.73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1937.609</v>
      </c>
      <c r="P17" s="446">
        <f t="shared" si="1"/>
        <v>3939.73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63.801</v>
      </c>
      <c r="G18" s="307">
        <f>+'Cash-Flow-2017-Leva'!G18/1000</f>
        <v>131.619</v>
      </c>
      <c r="H18" s="306"/>
      <c r="I18" s="308">
        <f>+'Cash-Flow-2017-Leva'!I18/1000</f>
        <v>4.401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68.202</v>
      </c>
      <c r="P18" s="446">
        <f t="shared" si="1"/>
        <v>131.619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212.715</v>
      </c>
      <c r="G19" s="307">
        <f>+'Cash-Flow-2017-Leva'!G19/1000</f>
        <v>355.786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212.715</v>
      </c>
      <c r="P19" s="446">
        <f t="shared" si="1"/>
        <v>355.786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25923.765</v>
      </c>
      <c r="G20" s="307">
        <f>+'Cash-Flow-2017-Leva'!G20/1000</f>
        <v>33619.891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25923.765</v>
      </c>
      <c r="P20" s="446">
        <f t="shared" si="1"/>
        <v>33619.891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1599.67</v>
      </c>
      <c r="G21" s="307">
        <f>+'Cash-Flow-2017-Leva'!G21/1000</f>
        <v>4154.301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</v>
      </c>
      <c r="N21" s="512"/>
      <c r="O21" s="393">
        <f t="shared" si="0"/>
        <v>1599.67</v>
      </c>
      <c r="P21" s="446">
        <f t="shared" si="1"/>
        <v>4154.301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64.515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64.515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50.573</v>
      </c>
      <c r="G23" s="296">
        <f>+'Cash-Flow-2017-Leva'!G23/1000</f>
        <v>282.89</v>
      </c>
      <c r="H23" s="306"/>
      <c r="I23" s="297">
        <f>+'Cash-Flow-2017-Leva'!I23/1000</f>
        <v>0</v>
      </c>
      <c r="J23" s="296">
        <f>+'Cash-Flow-2017-Leva'!J23/1000</f>
        <v>0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50.573</v>
      </c>
      <c r="P23" s="417">
        <f t="shared" si="1"/>
        <v>282.89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39286.727999999996</v>
      </c>
      <c r="G24" s="264">
        <f>+SUM(G15:G23)</f>
        <v>62017.47</v>
      </c>
      <c r="H24" s="306"/>
      <c r="I24" s="265">
        <f>+SUM(I15:I23)</f>
        <v>4.401</v>
      </c>
      <c r="J24" s="264">
        <f>+SUM(J15:J23)</f>
        <v>0</v>
      </c>
      <c r="K24" s="306"/>
      <c r="L24" s="265">
        <f>+SUM(L15:L23)</f>
        <v>0</v>
      </c>
      <c r="M24" s="264">
        <f>+SUM(M15:M23)</f>
        <v>0</v>
      </c>
      <c r="N24" s="512"/>
      <c r="O24" s="395">
        <f>+SUM(O15:O23)</f>
        <v>39291.12899999999</v>
      </c>
      <c r="P24" s="396">
        <f>+SUM(P15:P23)</f>
        <v>62017.47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887.304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887.304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0</v>
      </c>
      <c r="G27" s="307">
        <f>+'Cash-Flow-2017-Leva'!G27/1000</f>
        <v>12.216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0</v>
      </c>
      <c r="P27" s="446">
        <f t="shared" si="2"/>
        <v>12.216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887.304</v>
      </c>
      <c r="G29" s="264">
        <f>+SUM(G26:G28)</f>
        <v>12.216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887.304</v>
      </c>
      <c r="P29" s="396">
        <f>+SUM(P26:P28)</f>
        <v>12.216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-6258.301</v>
      </c>
      <c r="G36" s="264">
        <f>+'Cash-Flow-2017-Leva'!G36/1000</f>
        <v>-10033.787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-6258.301</v>
      </c>
      <c r="P36" s="396">
        <f t="shared" si="3"/>
        <v>-10033.787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-4740.108</v>
      </c>
      <c r="G37" s="309">
        <f>+'Cash-Flow-2017-Leva'!G37/1000</f>
        <v>-6217.789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-4740.108</v>
      </c>
      <c r="P37" s="447">
        <f t="shared" si="3"/>
        <v>-6217.789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-809.016</v>
      </c>
      <c r="G38" s="311">
        <f>+'Cash-Flow-2017-Leva'!G38/1000</f>
        <v>-2514.766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-809.016</v>
      </c>
      <c r="P38" s="448">
        <f t="shared" si="3"/>
        <v>-2514.766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5.965</v>
      </c>
      <c r="G41" s="264">
        <f>+'Cash-Flow-2017-Leva'!G41/1000</f>
        <v>9.024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5.965</v>
      </c>
      <c r="P41" s="396">
        <f>+G41+J41+M41</f>
        <v>9.024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1.685</v>
      </c>
      <c r="G43" s="284">
        <f>+'Cash-Flow-2017-Leva'!G43/1000</f>
        <v>-449.229</v>
      </c>
      <c r="H43" s="306"/>
      <c r="I43" s="285">
        <f>+'Cash-Flow-2017-Leva'!I43/1000</f>
        <v>249.826</v>
      </c>
      <c r="J43" s="284">
        <f>+'Cash-Flow-2017-Leva'!J43/1000</f>
        <v>2043.632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251.511</v>
      </c>
      <c r="P43" s="411">
        <f t="shared" si="4"/>
        <v>1594.403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0</v>
      </c>
      <c r="G44" s="307">
        <f>+'Cash-Flow-2017-Leva'!G44/1000</f>
        <v>0</v>
      </c>
      <c r="H44" s="306"/>
      <c r="I44" s="308">
        <f>+'Cash-Flow-2017-Leva'!I44/1000</f>
        <v>0</v>
      </c>
      <c r="J44" s="307">
        <f>+'Cash-Flow-2017-Leva'!J44/1000</f>
        <v>0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0</v>
      </c>
      <c r="P44" s="446">
        <f t="shared" si="4"/>
        <v>0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0</v>
      </c>
      <c r="J45" s="307">
        <f>+'Cash-Flow-2017-Leva'!J45/1000</f>
        <v>0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0</v>
      </c>
      <c r="P45" s="446">
        <f t="shared" si="4"/>
        <v>0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0</v>
      </c>
      <c r="G46" s="296">
        <f>+'Cash-Flow-2017-Leva'!G46/1000</f>
        <v>2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0</v>
      </c>
      <c r="P46" s="417">
        <f t="shared" si="4"/>
        <v>2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1.685</v>
      </c>
      <c r="G47" s="264">
        <f>+SUM(G43:G46)</f>
        <v>-447.229</v>
      </c>
      <c r="H47" s="306"/>
      <c r="I47" s="265">
        <f>+SUM(I43:I46)</f>
        <v>249.826</v>
      </c>
      <c r="J47" s="264">
        <f>+SUM(J43:J46)</f>
        <v>2043.632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251.511</v>
      </c>
      <c r="P47" s="396">
        <f>+SUM(P43:P46)</f>
        <v>1596.403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33923.38099999999</v>
      </c>
      <c r="G49" s="286">
        <f>+G24+G29+G36+G41+G47</f>
        <v>51557.694</v>
      </c>
      <c r="H49" s="306"/>
      <c r="I49" s="287">
        <f>+I24+I29+I36+I41+I47</f>
        <v>254.227</v>
      </c>
      <c r="J49" s="286">
        <f>+J24+J29+J36+J41+J47</f>
        <v>2043.632</v>
      </c>
      <c r="K49" s="306"/>
      <c r="L49" s="287">
        <f>+L24+L29+L36+L41+L47</f>
        <v>0</v>
      </c>
      <c r="M49" s="286">
        <f>+M24+M29+M36+M41+M47</f>
        <v>0</v>
      </c>
      <c r="N49" s="512"/>
      <c r="O49" s="412">
        <f>+O24+O29+O36+O41+O47</f>
        <v>34177.607999999986</v>
      </c>
      <c r="P49" s="413">
        <f>+P24+P29+P36+P41+P47</f>
        <v>53601.326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8285.422</v>
      </c>
      <c r="G52" s="257">
        <f>+'Cash-Flow-2017-Leva'!G52/1000</f>
        <v>27162.25</v>
      </c>
      <c r="H52" s="306"/>
      <c r="I52" s="267">
        <f>+'Cash-Flow-2017-Leva'!I52/1000</f>
        <v>2750.181</v>
      </c>
      <c r="J52" s="257">
        <f>+'Cash-Flow-2017-Leva'!J52/1000</f>
        <v>1712.905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11035.603000000001</v>
      </c>
      <c r="P52" s="392">
        <f t="shared" si="5"/>
        <v>28875.155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113.355</v>
      </c>
      <c r="G53" s="296">
        <f>+'Cash-Flow-2017-Leva'!G53/1000</f>
        <v>934.762</v>
      </c>
      <c r="H53" s="306"/>
      <c r="I53" s="297">
        <f>+'Cash-Flow-2017-Leva'!I53/1000</f>
        <v>0.112</v>
      </c>
      <c r="J53" s="296">
        <f>+'Cash-Flow-2017-Leva'!J53/1000</f>
        <v>0.075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113.467</v>
      </c>
      <c r="P53" s="417">
        <f t="shared" si="5"/>
        <v>934.837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249.199</v>
      </c>
      <c r="G54" s="296">
        <f>+'Cash-Flow-2017-Leva'!G54/1000</f>
        <v>502.33</v>
      </c>
      <c r="H54" s="306"/>
      <c r="I54" s="297">
        <f>+'Cash-Flow-2017-Leva'!I54/1000</f>
        <v>0.07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249.269</v>
      </c>
      <c r="P54" s="417">
        <f t="shared" si="5"/>
        <v>502.33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12094.91</v>
      </c>
      <c r="G55" s="296">
        <f>+'Cash-Flow-2017-Leva'!G55/1000</f>
        <v>28641.466</v>
      </c>
      <c r="H55" s="306"/>
      <c r="I55" s="297">
        <f>+'Cash-Flow-2017-Leva'!I55/1000</f>
        <v>937.062</v>
      </c>
      <c r="J55" s="296">
        <f>+'Cash-Flow-2017-Leva'!J55/1000</f>
        <v>2003.319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13031.972</v>
      </c>
      <c r="P55" s="417">
        <f t="shared" si="5"/>
        <v>30644.785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2948.135</v>
      </c>
      <c r="G56" s="296">
        <f>+'Cash-Flow-2017-Leva'!G56/1000</f>
        <v>6785.871</v>
      </c>
      <c r="H56" s="306"/>
      <c r="I56" s="297">
        <f>+'Cash-Flow-2017-Leva'!I56/1000</f>
        <v>246.901</v>
      </c>
      <c r="J56" s="296">
        <f>+'Cash-Flow-2017-Leva'!J56/1000</f>
        <v>489.954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3195.036</v>
      </c>
      <c r="P56" s="417">
        <f t="shared" si="5"/>
        <v>7275.825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23691.021</v>
      </c>
      <c r="G57" s="290">
        <f>+SUM(G52:G56)</f>
        <v>64026.679000000004</v>
      </c>
      <c r="H57" s="306"/>
      <c r="I57" s="291">
        <f>+SUM(I52:I56)</f>
        <v>3934.326</v>
      </c>
      <c r="J57" s="290">
        <f>+SUM(J52:J56)</f>
        <v>4206.253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27625.347</v>
      </c>
      <c r="P57" s="415">
        <f>+SUM(P52:P56)</f>
        <v>68232.932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6988.518</v>
      </c>
      <c r="G60" s="296">
        <f>+'Cash-Flow-2017-Leva'!G60/1000</f>
        <v>12630.883</v>
      </c>
      <c r="H60" s="306"/>
      <c r="I60" s="297">
        <f>+'Cash-Flow-2017-Leva'!I60/1000</f>
        <v>2048.999</v>
      </c>
      <c r="J60" s="296">
        <f>+'Cash-Flow-2017-Leva'!J60/1000</f>
        <v>4291.853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9037.517</v>
      </c>
      <c r="P60" s="417">
        <f t="shared" si="6"/>
        <v>16922.736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61.694</v>
      </c>
      <c r="G61" s="296">
        <f>+'Cash-Flow-2017-Leva'!G61/1000</f>
        <v>662.29</v>
      </c>
      <c r="H61" s="306"/>
      <c r="I61" s="297">
        <f>+'Cash-Flow-2017-Leva'!I61/1000</f>
        <v>0.821</v>
      </c>
      <c r="J61" s="296">
        <f>+'Cash-Flow-2017-Leva'!J61/1000</f>
        <v>0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62.515</v>
      </c>
      <c r="P61" s="417">
        <f t="shared" si="6"/>
        <v>662.29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7050.212</v>
      </c>
      <c r="G64" s="290">
        <f>+SUM(G59:G62)</f>
        <v>13293.172999999999</v>
      </c>
      <c r="H64" s="306"/>
      <c r="I64" s="291">
        <f>+SUM(I59:I62)</f>
        <v>2049.8199999999997</v>
      </c>
      <c r="J64" s="290">
        <f>+SUM(J59:J62)</f>
        <v>4291.853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9100.032</v>
      </c>
      <c r="P64" s="415">
        <f>+SUM(P59:P62)</f>
        <v>17585.026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6928.492</v>
      </c>
      <c r="G66" s="257">
        <f>+'Cash-Flow-2017-Leva'!G66/1000</f>
        <v>15782.836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6928.492</v>
      </c>
      <c r="P66" s="392">
        <f>+G66+J66+M66</f>
        <v>15782.836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6928.492</v>
      </c>
      <c r="G68" s="290">
        <f>+SUM(G66:G67)</f>
        <v>15782.836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6928.492</v>
      </c>
      <c r="P68" s="415">
        <f>+SUM(P66:P67)</f>
        <v>15782.836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0</v>
      </c>
      <c r="G70" s="257">
        <f>+'Cash-Flow-2017-Leva'!G70/1000</f>
        <v>0</v>
      </c>
      <c r="H70" s="306"/>
      <c r="I70" s="267">
        <f>+'Cash-Flow-2017-Leva'!I70/1000</f>
        <v>0</v>
      </c>
      <c r="J70" s="257">
        <f>+'Cash-Flow-2017-Leva'!J70/1000</f>
        <v>0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0</v>
      </c>
      <c r="P70" s="392">
        <f>+G70+J70+M70</f>
        <v>0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0</v>
      </c>
      <c r="G72" s="290">
        <f>+SUM(G70:G71)</f>
        <v>0</v>
      </c>
      <c r="H72" s="306"/>
      <c r="I72" s="291">
        <f>+SUM(I70:I71)</f>
        <v>0</v>
      </c>
      <c r="J72" s="290">
        <f>+SUM(J70:J71)</f>
        <v>0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0</v>
      </c>
      <c r="P72" s="415">
        <f>+SUM(P70:P71)</f>
        <v>0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122253.371</v>
      </c>
      <c r="G74" s="257">
        <f>+'Cash-Flow-2017-Leva'!G74/1000</f>
        <v>188034.42</v>
      </c>
      <c r="H74" s="306"/>
      <c r="I74" s="267">
        <f>+'Cash-Flow-2017-Leva'!I74/1000</f>
        <v>2.781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122256.152</v>
      </c>
      <c r="P74" s="392">
        <f>+G74+J74+M74</f>
        <v>188034.42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0</v>
      </c>
      <c r="G75" s="296">
        <f>+'Cash-Flow-2017-Leva'!G75/1000</f>
        <v>-212.096</v>
      </c>
      <c r="H75" s="306"/>
      <c r="I75" s="297">
        <f>+'Cash-Flow-2017-Leva'!I75/1000</f>
        <v>0</v>
      </c>
      <c r="J75" s="296">
        <f>+'Cash-Flow-2017-Leva'!J75/1000</f>
        <v>464.242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0</v>
      </c>
      <c r="P75" s="417">
        <f>+G75+J75+M75</f>
        <v>252.14600000000002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122253.371</v>
      </c>
      <c r="G76" s="290">
        <f>+SUM(G74:G75)</f>
        <v>187822.32400000002</v>
      </c>
      <c r="H76" s="306"/>
      <c r="I76" s="291">
        <f>+SUM(I74:I75)</f>
        <v>2.781</v>
      </c>
      <c r="J76" s="290">
        <f>+SUM(J74:J75)</f>
        <v>464.242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122256.152</v>
      </c>
      <c r="P76" s="415">
        <f>+SUM(P74:P75)</f>
        <v>188286.56600000002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159923.096</v>
      </c>
      <c r="G78" s="301">
        <f>+G57+G64+G68+G72+G76</f>
        <v>280925.012</v>
      </c>
      <c r="H78" s="306"/>
      <c r="I78" s="298">
        <f>+I57+I64+I68+I72+I76</f>
        <v>5986.927</v>
      </c>
      <c r="J78" s="301">
        <f>+J57+J64+J68+J72+J76</f>
        <v>8962.348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165910.023</v>
      </c>
      <c r="P78" s="425">
        <f>+P57+P64+P68+P72+P76</f>
        <v>289887.36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109637.606</v>
      </c>
      <c r="G80" s="284">
        <f>+'Cash-Flow-2017-Leva'!G80/1000</f>
        <v>434772.793</v>
      </c>
      <c r="H80" s="306"/>
      <c r="I80" s="285">
        <f>+'Cash-Flow-2017-Leva'!I80/1000</f>
        <v>5657.83</v>
      </c>
      <c r="J80" s="284">
        <f>+'Cash-Flow-2017-Leva'!J80/1000</f>
        <v>9168.333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115295.436</v>
      </c>
      <c r="P80" s="411">
        <f>+G80+J80+M80</f>
        <v>443941.126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-643.53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-643.53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109637.606</v>
      </c>
      <c r="G82" s="299">
        <f>+G80+G81</f>
        <v>434772.793</v>
      </c>
      <c r="H82" s="306"/>
      <c r="I82" s="300">
        <f>+I80+I81</f>
        <v>5657.83</v>
      </c>
      <c r="J82" s="299">
        <f>+J80+J81</f>
        <v>8524.803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115295.436</v>
      </c>
      <c r="P82" s="420">
        <f>+P80+P81</f>
        <v>443297.59599999996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82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82"/>
      <c r="D83" s="682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-16362.108999999997</v>
      </c>
      <c r="G84" s="320">
        <f>+G49-G78+G82</f>
        <v>205405.47500000003</v>
      </c>
      <c r="H84" s="306"/>
      <c r="I84" s="321">
        <f>+I49-I78+I82</f>
        <v>-74.86999999999989</v>
      </c>
      <c r="J84" s="320">
        <f>+J49-J78+J82</f>
        <v>1606.0869999999995</v>
      </c>
      <c r="K84" s="306"/>
      <c r="L84" s="321">
        <f>+L49-L78+L82</f>
        <v>0</v>
      </c>
      <c r="M84" s="320">
        <f>+M49-M78+M82</f>
        <v>0</v>
      </c>
      <c r="N84" s="512"/>
      <c r="O84" s="421">
        <f>+O49-O78+O82</f>
        <v>-16436.979000000007</v>
      </c>
      <c r="P84" s="422">
        <f>+P49-P78+P82</f>
        <v>207011.56199999998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16362.10899999999</v>
      </c>
      <c r="G85" s="322">
        <f>+G102+G121+G127-G132</f>
        <v>-205405.47500000006</v>
      </c>
      <c r="H85" s="306"/>
      <c r="I85" s="323">
        <f>+I102+I121+I127-I132</f>
        <v>74.87</v>
      </c>
      <c r="J85" s="322">
        <f>+J102+J121+J127-J132</f>
        <v>-1606.087</v>
      </c>
      <c r="K85" s="306"/>
      <c r="L85" s="323">
        <f>+L102+L121+L127-L132</f>
        <v>0</v>
      </c>
      <c r="M85" s="322">
        <f>+M102+M121+M127-M132</f>
        <v>0</v>
      </c>
      <c r="N85" s="512"/>
      <c r="O85" s="423">
        <f>+O102+O121+O127-O132</f>
        <v>16436.978999999992</v>
      </c>
      <c r="P85" s="424">
        <f>+P102+P121+P127-P132</f>
        <v>-207011.56200000006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0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0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0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0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-208000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-208000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40331.751</v>
      </c>
      <c r="G93" s="296">
        <f>+'Cash-Flow-2017-Leva'!G93/1000</f>
        <v>65687.947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40331.751</v>
      </c>
      <c r="P93" s="417">
        <f t="shared" si="7"/>
        <v>65687.947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40331.751</v>
      </c>
      <c r="G96" s="264">
        <f>+SUM(G92:G95)</f>
        <v>-142312.053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40331.751</v>
      </c>
      <c r="P96" s="396">
        <f>+SUM(P92:P95)</f>
        <v>-142312.053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44.626</v>
      </c>
      <c r="G99" s="296">
        <f>+'Cash-Flow-2017-Leva'!G99/1000</f>
        <v>32.58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44.626</v>
      </c>
      <c r="P99" s="417">
        <f>+G99+J99+M99</f>
        <v>32.58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44.626</v>
      </c>
      <c r="G100" s="264">
        <f>+SUM(G98:G99)</f>
        <v>32.58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44.626</v>
      </c>
      <c r="P100" s="396">
        <f>+SUM(P98:P99)</f>
        <v>32.58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40376.37699999999</v>
      </c>
      <c r="G102" s="286">
        <f>+G90+G96+G100</f>
        <v>-142279.47300000003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40376.37699999999</v>
      </c>
      <c r="P102" s="413">
        <f>+P90+P96+P100</f>
        <v>-142279.47300000003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-23187.025</v>
      </c>
      <c r="G110" s="296">
        <f>+'Cash-Flow-2017-Leva'!G110/1000</f>
        <v>-66289.077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-23187.025</v>
      </c>
      <c r="P110" s="417">
        <f>+G110+J110+M110</f>
        <v>-66289.077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-23187.025</v>
      </c>
      <c r="G111" s="290">
        <f>+SUM(G109:G110)</f>
        <v>-66289.077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-23187.025</v>
      </c>
      <c r="P111" s="415">
        <f>+SUM(P109:P110)</f>
        <v>-66289.077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-5.533</v>
      </c>
      <c r="G117" s="257">
        <f>+'Cash-Flow-2017-Leva'!G117/1000</f>
        <v>14.325</v>
      </c>
      <c r="H117" s="306"/>
      <c r="I117" s="267">
        <f>+'Cash-Flow-2017-Leva'!I117/1000</f>
        <v>0</v>
      </c>
      <c r="J117" s="257">
        <f>+'Cash-Flow-2017-Leva'!J117/1000</f>
        <v>0</v>
      </c>
      <c r="K117" s="306"/>
      <c r="L117" s="267">
        <f>+'Cash-Flow-2017-Leva'!L117/1000</f>
        <v>90.744</v>
      </c>
      <c r="M117" s="257">
        <f>+'Cash-Flow-2017-Leva'!M117/1000</f>
        <v>-183.451</v>
      </c>
      <c r="N117" s="512"/>
      <c r="O117" s="399">
        <f>+F117+I117+L117</f>
        <v>85.211</v>
      </c>
      <c r="P117" s="392">
        <f>+G117+J117+M117</f>
        <v>-169.126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25.478</v>
      </c>
      <c r="G118" s="296">
        <f>+'Cash-Flow-2017-Leva'!G118/1000</f>
        <v>-2.026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25.478</v>
      </c>
      <c r="P118" s="417">
        <f>+G118+J118+M118</f>
        <v>-2.026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19.945</v>
      </c>
      <c r="G119" s="290">
        <f>+SUM(G117:G118)</f>
        <v>12.299</v>
      </c>
      <c r="H119" s="306"/>
      <c r="I119" s="291">
        <f>+SUM(I117:I118)</f>
        <v>0</v>
      </c>
      <c r="J119" s="290">
        <f>+SUM(J117:J118)</f>
        <v>0</v>
      </c>
      <c r="K119" s="306"/>
      <c r="L119" s="291">
        <f>+SUM(L117:L118)</f>
        <v>90.744</v>
      </c>
      <c r="M119" s="290">
        <f>+SUM(M117:M118)</f>
        <v>-183.451</v>
      </c>
      <c r="N119" s="512"/>
      <c r="O119" s="414">
        <f>+SUM(O117:O118)</f>
        <v>110.689</v>
      </c>
      <c r="P119" s="415">
        <f>+SUM(P117:P118)</f>
        <v>-171.15200000000002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-23167.08</v>
      </c>
      <c r="G121" s="301">
        <f>+G107+G111+G115+G119</f>
        <v>-66276.778</v>
      </c>
      <c r="H121" s="306"/>
      <c r="I121" s="298">
        <f>+I107+I111+I115+I119</f>
        <v>0</v>
      </c>
      <c r="J121" s="301">
        <f>+J107+J111+J115+J119</f>
        <v>0</v>
      </c>
      <c r="K121" s="306"/>
      <c r="L121" s="298">
        <f>+L107+L111+L115+L119</f>
        <v>90.744</v>
      </c>
      <c r="M121" s="301">
        <f>+M107+M111+M115+M119</f>
        <v>-183.451</v>
      </c>
      <c r="N121" s="512"/>
      <c r="O121" s="418">
        <f>+O107+O111+O115+O119</f>
        <v>-23076.336000000003</v>
      </c>
      <c r="P121" s="425">
        <f>+P107+P111+P115+P119</f>
        <v>-66460.229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15.209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15.209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138.18</v>
      </c>
      <c r="G124" s="296">
        <f>+'Cash-Flow-2017-Leva'!G124/1000</f>
        <v>2393.123</v>
      </c>
      <c r="H124" s="306"/>
      <c r="I124" s="297">
        <f>+'Cash-Flow-2017-Leva'!I124/1000</f>
        <v>-138.18</v>
      </c>
      <c r="J124" s="296">
        <f>+'Cash-Flow-2017-Leva'!J124/1000</f>
        <v>-1602.906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0</v>
      </c>
      <c r="P124" s="417">
        <f t="shared" si="8"/>
        <v>790.2170000000001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-699.13</v>
      </c>
      <c r="G125" s="296">
        <f>+'Cash-Flow-2017-Leva'!G125/1000</f>
        <v>-148.815</v>
      </c>
      <c r="H125" s="306"/>
      <c r="I125" s="297">
        <f>+'Cash-Flow-2017-Leva'!I125/1000</f>
        <v>213.05</v>
      </c>
      <c r="J125" s="296">
        <f>+'Cash-Flow-2017-Leva'!J125/1000</f>
        <v>-3.181</v>
      </c>
      <c r="K125" s="306"/>
      <c r="L125" s="297">
        <f>+'Cash-Flow-2017-Leva'!L125/1000</f>
        <v>0</v>
      </c>
      <c r="M125" s="296">
        <f>+'Cash-Flow-2017-Leva'!M125/1000</f>
        <v>-137.402</v>
      </c>
      <c r="N125" s="512"/>
      <c r="O125" s="394">
        <f t="shared" si="8"/>
        <v>-486.08</v>
      </c>
      <c r="P125" s="417">
        <f t="shared" si="8"/>
        <v>-289.398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-545.741</v>
      </c>
      <c r="G127" s="299">
        <f>+SUM(G123:G126)</f>
        <v>2244.308</v>
      </c>
      <c r="H127" s="306"/>
      <c r="I127" s="300">
        <f>+SUM(I123:I126)</f>
        <v>74.87</v>
      </c>
      <c r="J127" s="299">
        <f>+SUM(J123:J126)</f>
        <v>-1606.087</v>
      </c>
      <c r="K127" s="306"/>
      <c r="L127" s="300">
        <f>+SUM(L123:L126)</f>
        <v>0</v>
      </c>
      <c r="M127" s="299">
        <f>+SUM(M123:M126)</f>
        <v>-137.402</v>
      </c>
      <c r="N127" s="512"/>
      <c r="O127" s="419">
        <f>+SUM(O123:O126)</f>
        <v>-470.871</v>
      </c>
      <c r="P127" s="420">
        <f>+SUM(P123:P126)</f>
        <v>500.8190000000001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141.004</v>
      </c>
      <c r="G129" s="284">
        <f>+'Cash-Flow-2017-Leva'!G129/1000</f>
        <v>1118.061</v>
      </c>
      <c r="H129" s="306"/>
      <c r="I129" s="285">
        <f>+'Cash-Flow-2017-Leva'!I129/1000</f>
        <v>45.01</v>
      </c>
      <c r="J129" s="284">
        <f>+'Cash-Flow-2017-Leva'!J129/1000</f>
        <v>44.698</v>
      </c>
      <c r="K129" s="306"/>
      <c r="L129" s="285">
        <f>+'Cash-Flow-2017-Leva'!L129/1000</f>
        <v>974.454</v>
      </c>
      <c r="M129" s="284">
        <f>+'Cash-Flow-2017-Leva'!M129/1000</f>
        <v>1295.307</v>
      </c>
      <c r="N129" s="512"/>
      <c r="O129" s="398">
        <f aca="true" t="shared" si="9" ref="O129:P131">+F129+I129+L129</f>
        <v>1160.4679999999998</v>
      </c>
      <c r="P129" s="411">
        <f t="shared" si="9"/>
        <v>2458.066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-6.712</v>
      </c>
      <c r="G130" s="296">
        <f>+'Cash-Flow-2017-Leva'!G130/1000</f>
        <v>-55.38</v>
      </c>
      <c r="H130" s="306"/>
      <c r="I130" s="297">
        <f>+'Cash-Flow-2017-Leva'!I130/1000</f>
        <v>-0.787</v>
      </c>
      <c r="J130" s="296">
        <f>+'Cash-Flow-2017-Leva'!J130/1000</f>
        <v>0.312</v>
      </c>
      <c r="K130" s="306"/>
      <c r="L130" s="297">
        <f>+'Cash-Flow-2017-Leva'!L130/1000</f>
        <v>-1.219</v>
      </c>
      <c r="M130" s="296">
        <f>+'Cash-Flow-2017-Leva'!M130/1000</f>
        <v>0</v>
      </c>
      <c r="N130" s="512"/>
      <c r="O130" s="394">
        <f t="shared" si="9"/>
        <v>-8.718</v>
      </c>
      <c r="P130" s="417">
        <f t="shared" si="9"/>
        <v>-55.068000000000005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435.739</v>
      </c>
      <c r="G131" s="296">
        <f>+'Cash-Flow-2017-Leva'!G131/1000</f>
        <v>156.213</v>
      </c>
      <c r="H131" s="306"/>
      <c r="I131" s="297">
        <f>+'Cash-Flow-2017-Leva'!I131/1000</f>
        <v>44.223</v>
      </c>
      <c r="J131" s="296">
        <f>+'Cash-Flow-2017-Leva'!J131/1000</f>
        <v>45.01</v>
      </c>
      <c r="K131" s="306"/>
      <c r="L131" s="297">
        <f>+'Cash-Flow-2017-Leva'!L131/1000</f>
        <v>1063.979</v>
      </c>
      <c r="M131" s="296">
        <f>+'Cash-Flow-2017-Leva'!M131/1000</f>
        <v>974.454</v>
      </c>
      <c r="N131" s="512"/>
      <c r="O131" s="394">
        <f t="shared" si="9"/>
        <v>1543.941</v>
      </c>
      <c r="P131" s="417">
        <f t="shared" si="9"/>
        <v>1175.677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301.447</v>
      </c>
      <c r="G132" s="304">
        <f>+G131-G129-G130</f>
        <v>-906.468</v>
      </c>
      <c r="H132" s="306"/>
      <c r="I132" s="305">
        <f>+I131-I129-I130</f>
        <v>9.992007221626409E-16</v>
      </c>
      <c r="J132" s="304">
        <f>+J131-J129-J130</f>
        <v>-2.3869795029440866E-15</v>
      </c>
      <c r="K132" s="306"/>
      <c r="L132" s="305">
        <f>+L131-L129-L130</f>
        <v>90.74400000000009</v>
      </c>
      <c r="M132" s="304">
        <f>+M131-M129-M130</f>
        <v>-320.85300000000007</v>
      </c>
      <c r="N132" s="512"/>
      <c r="O132" s="428">
        <f>+O131-O129-O130</f>
        <v>392.1910000000002</v>
      </c>
      <c r="P132" s="429">
        <f>+P131-P129-P130</f>
        <v>-1227.321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81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81"/>
      <c r="D133" s="681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18072017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R5:T5"/>
    <mergeCell ref="D6:L6"/>
    <mergeCell ref="R6:T6"/>
    <mergeCell ref="D8:L8"/>
    <mergeCell ref="R8:T8"/>
    <mergeCell ref="B133:D133"/>
    <mergeCell ref="B83:D83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Mariana Dimova</cp:lastModifiedBy>
  <cp:lastPrinted>2017-07-18T14:05:39Z</cp:lastPrinted>
  <dcterms:created xsi:type="dcterms:W3CDTF">2015-12-01T07:17:04Z</dcterms:created>
  <dcterms:modified xsi:type="dcterms:W3CDTF">2017-07-18T14:05:53Z</dcterms:modified>
  <cp:category/>
  <cp:version/>
  <cp:contentType/>
  <cp:contentStatus/>
</cp:coreProperties>
</file>