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'Cash-Flow-2017-Leva'!$B$1:$T$141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<sst xmlns="http://schemas.openxmlformats.org/spreadsheetml/2006/main" count="524" uniqueCount="355">
  <si>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</si>
  <si>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</si>
  <si>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</si>
  <si>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</si>
  <si>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</si>
  <si>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</si>
  <si>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</si>
  <si>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</si>
  <si>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</si>
  <si>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</si>
  <si>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</si>
  <si>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</si>
  <si>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</si>
  <si>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</si>
  <si>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</si>
  <si>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</si>
  <si>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</si>
  <si>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</si>
  <si>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</si>
  <si>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</si>
  <si>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</si>
  <si>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</si>
  <si>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</si>
  <si>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</si>
  <si>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</si>
  <si>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</si>
  <si>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</si>
  <si>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</si>
  <si>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</si>
  <si>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</si>
  <si>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</si>
  <si>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</si>
  <si>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</si>
  <si>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</si>
  <si>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</si>
  <si>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</si>
  <si>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</si>
  <si>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</si>
  <si>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</si>
  <si>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</si>
  <si>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</si>
  <si>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</si>
  <si>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</si>
  <si>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</si>
  <si>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</si>
  <si>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</si>
  <si>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</si>
  <si>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</si>
  <si>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</si>
  <si>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</si>
  <si>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</si>
  <si>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</si>
  <si>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</si>
  <si>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</si>
  <si>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</si>
  <si>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</si>
  <si>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</si>
  <si>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</si>
  <si>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</si>
  <si>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</si>
  <si>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</si>
  <si>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</si>
  <si>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</si>
  <si>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</si>
  <si>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</si>
  <si>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</si>
  <si>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</si>
  <si>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</si>
  <si>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</si>
  <si>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</si>
  <si>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</si>
  <si>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</si>
  <si>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</si>
  <si>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</si>
  <si>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</si>
  <si>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</si>
  <si>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</si>
  <si>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</si>
  <si>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</si>
  <si>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</si>
  <si>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</si>
  <si>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</si>
  <si>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</si>
  <si>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</si>
  <si>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</si>
  <si>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</si>
  <si>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</si>
  <si>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</si>
  <si>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</si>
  <si>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</si>
  <si>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</si>
  <si>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</si>
  <si>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</si>
  <si>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</si>
  <si>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</si>
  <si>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</si>
  <si>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</si>
  <si>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</si>
  <si>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</si>
  <si>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</si>
  <si>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</si>
  <si>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</si>
  <si>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</si>
  <si>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</si>
  <si>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</si>
  <si>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</si>
  <si>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</si>
  <si>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</si>
  <si>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</si>
  <si>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</si>
  <si>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</si>
  <si>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</si>
  <si>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</si>
  <si>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</si>
  <si>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</si>
  <si>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</si>
  <si>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</si>
  <si>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</si>
  <si>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</si>
  <si>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</si>
  <si>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</si>
  <si>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</si>
  <si>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</si>
  <si>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</si>
  <si>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</si>
  <si>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</si>
  <si>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</si>
  <si>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</si>
  <si>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</si>
  <si>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</si>
  <si>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</si>
  <si>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</si>
  <si>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</si>
  <si>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</si>
  <si>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</si>
  <si>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</si>
  <si>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</si>
  <si>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</si>
  <si>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</si>
  <si>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</si>
  <si>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</si>
  <si>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</si>
  <si>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</si>
  <si>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</si>
  <si>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</si>
  <si>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</si>
  <si>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</si>
  <si>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</si>
  <si>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</si>
  <si>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</si>
  <si>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</si>
  <si>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</si>
  <si>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</si>
  <si>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</si>
  <si>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</si>
  <si>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</si>
  <si>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</si>
  <si>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</si>
  <si>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</si>
  <si>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</si>
  <si>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</si>
  <si>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</si>
  <si>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</si>
  <si>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</si>
  <si>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</si>
  <si>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</si>
  <si>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</si>
  <si>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</si>
  <si>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</si>
  <si>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</si>
  <si>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</si>
  <si>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</si>
  <si>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</si>
  <si>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</si>
  <si>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</si>
  <si>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</si>
  <si>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</si>
  <si>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</si>
  <si>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</si>
  <si>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</si>
  <si>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</si>
  <si>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</si>
  <si>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</si>
  <si>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</si>
  <si>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</si>
  <si>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</si>
  <si>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</si>
  <si>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</si>
  <si>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</si>
  <si>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</si>
  <si>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</si>
  <si>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</si>
  <si>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</si>
  <si>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</si>
  <si>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</si>
  <si>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</si>
  <si>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</si>
  <si>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</si>
  <si>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</si>
  <si>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</si>
  <si>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</si>
  <si>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</si>
  <si>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</si>
  <si>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</si>
  <si>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</si>
  <si>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</si>
  <si>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</si>
  <si>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</si>
  <si>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</si>
  <si>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</si>
  <si>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</si>
  <si>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</si>
  <si>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</si>
  <si>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</si>
  <si>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</si>
  <si>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</si>
  <si>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</si>
  <si>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</si>
  <si>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</si>
  <si>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</si>
  <si>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</si>
  <si>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</si>
  <si>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</si>
  <si>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</si>
  <si>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</si>
  <si>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</si>
  <si>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</si>
  <si>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</si>
  <si>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</si>
  <si>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</si>
  <si>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</si>
  <si>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</si>
  <si>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</si>
  <si>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</si>
  <si>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</si>
  <si>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</si>
  <si>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</si>
  <si>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</si>
  <si>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</si>
  <si>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</si>
  <si>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</si>
  <si>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</si>
  <si>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</si>
  <si>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</si>
  <si>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</si>
  <si>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</si>
  <si>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</si>
  <si>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</si>
  <si>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</si>
  <si>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</si>
  <si>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</si>
  <si>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</si>
  <si>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</si>
  <si>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</si>
  <si>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</si>
  <si>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</si>
  <si>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</si>
  <si>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</si>
  <si>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</si>
  <si>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</si>
  <si>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</si>
  <si>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</si>
  <si>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</si>
  <si>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</si>
  <si>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</si>
  <si>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</si>
  <si>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</si>
  <si>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</si>
  <si>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</si>
  <si>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</si>
  <si>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</si>
  <si>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</si>
  <si>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</si>
  <si>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</si>
  <si>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</si>
  <si>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</si>
  <si>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</si>
  <si>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</si>
  <si>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</si>
  <si>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</si>
  <si>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</si>
  <si>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</si>
  <si>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</si>
  <si>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</si>
  <si>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</si>
  <si>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</si>
  <si>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</si>
  <si>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</si>
  <si>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</si>
  <si>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</si>
  <si>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</si>
  <si>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</si>
  <si>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</si>
  <si>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</si>
  <si>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</si>
  <si>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</si>
  <si>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</si>
  <si>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</si>
  <si>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</si>
  <si>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</si>
  <si>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</si>
  <si>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</si>
  <si>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</si>
  <si>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</si>
  <si>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</si>
  <si>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</si>
  <si>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</si>
  <si>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</si>
  <si>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</si>
  <si>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</si>
  <si>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</si>
  <si>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</si>
  <si>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</si>
  <si>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</si>
  <si>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</si>
  <si>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</si>
  <si>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</si>
  <si>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</si>
  <si>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</si>
  <si>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</si>
  <si>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</si>
  <si>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</si>
  <si>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</si>
  <si>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</si>
  <si>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</si>
  <si>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</si>
  <si>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</si>
  <si>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</si>
  <si>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</si>
  <si>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</si>
  <si>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</si>
  <si>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</si>
  <si>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</si>
  <si>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</si>
  <si>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</si>
  <si>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</si>
  <si>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</si>
  <si>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</si>
  <si>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</si>
  <si>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</si>
  <si>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</si>
  <si>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</si>
  <si>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</si>
  <si>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</si>
  <si>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</si>
  <si>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</si>
  <si>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</si>
  <si>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</si>
  <si>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</si>
  <si>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</si>
  <si>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МТИТС</t>
  </si>
  <si>
    <t>www.mtitc.government.bg</t>
  </si>
  <si>
    <t>mdimova@mtitc.government.bg</t>
  </si>
  <si>
    <t>Иван Иванов</t>
  </si>
  <si>
    <t>Иван Марков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</si>
</sst>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1" applyFont="1" applyFill="1" applyAlignment="1" applyProtection="1">
      <alignment horizontal="right"/>
      <protection/>
    </xf>
    <xf numFmtId="0" fontId="151" fillId="32" borderId="0" xfId="61" applyFont="1" applyFill="1" applyBorder="1" applyAlignment="1" applyProtection="1">
      <alignment horizontal="center"/>
      <protection/>
    </xf>
    <xf numFmtId="166" fontId="152" fillId="32" borderId="0" xfId="63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1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52" fillId="38" borderId="0" xfId="57" applyFont="1" applyFill="1" applyBorder="1">
      <alignment/>
      <protection/>
    </xf>
    <xf numFmtId="0" fontId="152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7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154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28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8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1" fillId="32" borderId="24" xfId="57" applyNumberFormat="1" applyFont="1" applyFill="1" applyBorder="1" applyAlignment="1">
      <alignment horizontal="center"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2" fillId="32" borderId="23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171" fontId="16" fillId="32" borderId="20" xfId="57" applyNumberFormat="1" applyFont="1" applyFill="1" applyBorder="1" applyAlignment="1">
      <alignment horizontal="left"/>
      <protection/>
    </xf>
    <xf numFmtId="171" fontId="16" fillId="32" borderId="24" xfId="57" applyNumberFormat="1" applyFont="1" applyFill="1" applyBorder="1" applyAlignment="1">
      <alignment horizontal="left"/>
      <protection/>
    </xf>
    <xf numFmtId="169" fontId="30" fillId="32" borderId="0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9" fontId="30" fillId="32" borderId="22" xfId="57" applyNumberFormat="1" applyFont="1" applyFill="1" applyBorder="1">
      <alignment/>
      <protection/>
    </xf>
    <xf numFmtId="0" fontId="153" fillId="32" borderId="18" xfId="57" applyFont="1" applyFill="1" applyBorder="1">
      <alignment/>
      <protection/>
    </xf>
    <xf numFmtId="168" fontId="30" fillId="32" borderId="22" xfId="57" applyNumberFormat="1" applyFont="1" applyFill="1" applyBorder="1" applyAlignment="1">
      <alignment horizontal="left"/>
      <protection/>
    </xf>
    <xf numFmtId="173" fontId="155" fillId="39" borderId="25" xfId="0" applyNumberFormat="1" applyFont="1" applyFill="1" applyBorder="1" applyAlignment="1" applyProtection="1" quotePrefix="1">
      <alignment horizontal="center"/>
      <protection/>
    </xf>
    <xf numFmtId="172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2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50" fillId="40" borderId="29" xfId="57" applyFont="1" applyFill="1" applyBorder="1">
      <alignment/>
      <protection/>
    </xf>
    <xf numFmtId="0" fontId="152" fillId="40" borderId="30" xfId="57" applyFont="1" applyFill="1" applyBorder="1">
      <alignment/>
      <protection/>
    </xf>
    <xf numFmtId="0" fontId="152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9" fillId="41" borderId="25" xfId="0" applyNumberFormat="1" applyFont="1" applyFill="1" applyBorder="1" applyAlignment="1" applyProtection="1" quotePrefix="1">
      <alignment horizontal="center"/>
      <protection/>
    </xf>
    <xf numFmtId="172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60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2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2" fillId="33" borderId="0" xfId="63" applyNumberFormat="1" applyFont="1" applyFill="1" applyBorder="1" applyAlignment="1" applyProtection="1">
      <alignment/>
      <protection/>
    </xf>
    <xf numFmtId="38" fontId="22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2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63" applyNumberFormat="1" applyFont="1" applyFill="1" applyBorder="1" applyAlignment="1" applyProtection="1">
      <alignment/>
      <protection/>
    </xf>
    <xf numFmtId="38" fontId="22" fillId="45" borderId="48" xfId="63" applyNumberFormat="1" applyFont="1" applyFill="1" applyBorder="1" applyAlignment="1" applyProtection="1">
      <alignment/>
      <protection/>
    </xf>
    <xf numFmtId="38" fontId="22" fillId="45" borderId="49" xfId="63" applyNumberFormat="1" applyFont="1" applyFill="1" applyBorder="1" applyAlignment="1" applyProtection="1">
      <alignment/>
      <protection/>
    </xf>
    <xf numFmtId="38" fontId="22" fillId="46" borderId="47" xfId="63" applyNumberFormat="1" applyFont="1" applyFill="1" applyBorder="1" applyAlignment="1" applyProtection="1">
      <alignment/>
      <protection/>
    </xf>
    <xf numFmtId="38" fontId="22" fillId="46" borderId="48" xfId="63" applyNumberFormat="1" applyFont="1" applyFill="1" applyBorder="1" applyAlignment="1" applyProtection="1">
      <alignment/>
      <protection/>
    </xf>
    <xf numFmtId="38" fontId="22" fillId="46" borderId="49" xfId="63" applyNumberFormat="1" applyFont="1" applyFill="1" applyBorder="1" applyAlignment="1" applyProtection="1">
      <alignment/>
      <protection/>
    </xf>
    <xf numFmtId="38" fontId="22" fillId="33" borderId="50" xfId="63" applyNumberFormat="1" applyFont="1" applyFill="1" applyBorder="1" applyAlignment="1" applyProtection="1">
      <alignment/>
      <protection/>
    </xf>
    <xf numFmtId="38" fontId="22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63" applyNumberFormat="1" applyFont="1" applyFill="1" applyBorder="1" applyAlignment="1" applyProtection="1">
      <alignment/>
      <protection/>
    </xf>
    <xf numFmtId="38" fontId="30" fillId="44" borderId="59" xfId="63" applyNumberFormat="1" applyFont="1" applyFill="1" applyBorder="1" applyAlignment="1" applyProtection="1">
      <alignment/>
      <protection/>
    </xf>
    <xf numFmtId="38" fontId="30" fillId="44" borderId="52" xfId="63" applyNumberFormat="1" applyFont="1" applyFill="1" applyBorder="1" applyAlignment="1" applyProtection="1">
      <alignment/>
      <protection/>
    </xf>
    <xf numFmtId="38" fontId="30" fillId="44" borderId="53" xfId="63" applyNumberFormat="1" applyFont="1" applyFill="1" applyBorder="1" applyAlignment="1" applyProtection="1">
      <alignment/>
      <protection/>
    </xf>
    <xf numFmtId="38" fontId="30" fillId="44" borderId="54" xfId="63" applyNumberFormat="1" applyFont="1" applyFill="1" applyBorder="1" applyAlignment="1" applyProtection="1">
      <alignment/>
      <protection/>
    </xf>
    <xf numFmtId="38" fontId="30" fillId="44" borderId="55" xfId="63" applyNumberFormat="1" applyFont="1" applyFill="1" applyBorder="1" applyAlignment="1" applyProtection="1">
      <alignment/>
      <protection/>
    </xf>
    <xf numFmtId="38" fontId="22" fillId="33" borderId="60" xfId="63" applyNumberFormat="1" applyFont="1" applyFill="1" applyBorder="1" applyAlignment="1" applyProtection="1">
      <alignment/>
      <protection/>
    </xf>
    <xf numFmtId="38" fontId="22" fillId="33" borderId="20" xfId="63" applyNumberFormat="1" applyFont="1" applyFill="1" applyBorder="1" applyAlignment="1" applyProtection="1">
      <alignment/>
      <protection/>
    </xf>
    <xf numFmtId="38" fontId="22" fillId="33" borderId="57" xfId="63" applyNumberFormat="1" applyFont="1" applyFill="1" applyBorder="1" applyAlignment="1" applyProtection="1">
      <alignment/>
      <protection/>
    </xf>
    <xf numFmtId="38" fontId="30" fillId="44" borderId="48" xfId="63" applyNumberFormat="1" applyFont="1" applyFill="1" applyBorder="1" applyAlignment="1" applyProtection="1">
      <alignment/>
      <protection/>
    </xf>
    <xf numFmtId="38" fontId="30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2" fillId="33" borderId="32" xfId="0" applyNumberFormat="1" applyFont="1" applyFill="1" applyBorder="1" applyAlignment="1" applyProtection="1">
      <alignment horizontal="center"/>
      <protection locked="0"/>
    </xf>
    <xf numFmtId="175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2" fillId="33" borderId="67" xfId="63" applyNumberFormat="1" applyFont="1" applyFill="1" applyBorder="1" applyAlignment="1" applyProtection="1">
      <alignment/>
      <protection/>
    </xf>
    <xf numFmtId="38" fontId="22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2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30" fillId="44" borderId="56" xfId="63" applyNumberFormat="1" applyFont="1" applyFill="1" applyBorder="1" applyAlignment="1" applyProtection="1">
      <alignment/>
      <protection/>
    </xf>
    <xf numFmtId="38" fontId="30" fillId="44" borderId="64" xfId="63" applyNumberFormat="1" applyFont="1" applyFill="1" applyBorder="1" applyAlignment="1" applyProtection="1">
      <alignment/>
      <protection/>
    </xf>
    <xf numFmtId="38" fontId="30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3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2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2" fillId="44" borderId="60" xfId="63" applyNumberFormat="1" applyFont="1" applyFill="1" applyBorder="1" applyAlignment="1" applyProtection="1">
      <alignment horizontal="center"/>
      <protection/>
    </xf>
    <xf numFmtId="38" fontId="22" fillId="44" borderId="20" xfId="63" applyNumberFormat="1" applyFont="1" applyFill="1" applyBorder="1" applyAlignment="1" applyProtection="1">
      <alignment horizontal="center"/>
      <protection/>
    </xf>
    <xf numFmtId="38" fontId="22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30" fillId="44" borderId="47" xfId="63" applyNumberFormat="1" applyFont="1" applyFill="1" applyBorder="1" applyAlignment="1" applyProtection="1">
      <alignment horizontal="center"/>
      <protection/>
    </xf>
    <xf numFmtId="38" fontId="30" fillId="44" borderId="48" xfId="63" applyNumberFormat="1" applyFont="1" applyFill="1" applyBorder="1" applyAlignment="1" applyProtection="1">
      <alignment horizontal="center"/>
      <protection/>
    </xf>
    <xf numFmtId="38" fontId="30" fillId="44" borderId="49" xfId="63" applyNumberFormat="1" applyFont="1" applyFill="1" applyBorder="1" applyAlignment="1" applyProtection="1">
      <alignment horizontal="center"/>
      <protection/>
    </xf>
    <xf numFmtId="38" fontId="22" fillId="33" borderId="60" xfId="63" applyNumberFormat="1" applyFont="1" applyFill="1" applyBorder="1" applyAlignment="1" applyProtection="1">
      <alignment horizontal="center"/>
      <protection/>
    </xf>
    <xf numFmtId="38" fontId="22" fillId="33" borderId="20" xfId="63" applyNumberFormat="1" applyFont="1" applyFill="1" applyBorder="1" applyAlignment="1" applyProtection="1">
      <alignment horizontal="center"/>
      <protection/>
    </xf>
    <xf numFmtId="38" fontId="22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2" fillId="33" borderId="67" xfId="63" applyNumberFormat="1" applyFont="1" applyFill="1" applyBorder="1" applyAlignment="1" applyProtection="1">
      <alignment horizontal="left"/>
      <protection/>
    </xf>
    <xf numFmtId="38" fontId="22" fillId="33" borderId="50" xfId="63" applyNumberFormat="1" applyFont="1" applyFill="1" applyBorder="1" applyAlignment="1" applyProtection="1">
      <alignment horizontal="left"/>
      <protection/>
    </xf>
    <xf numFmtId="38" fontId="22" fillId="33" borderId="51" xfId="63" applyNumberFormat="1" applyFont="1" applyFill="1" applyBorder="1" applyAlignment="1" applyProtection="1">
      <alignment horizontal="left"/>
      <protection/>
    </xf>
    <xf numFmtId="38" fontId="22" fillId="33" borderId="66" xfId="63" applyNumberFormat="1" applyFont="1" applyFill="1" applyBorder="1" applyAlignment="1" applyProtection="1">
      <alignment horizontal="left"/>
      <protection/>
    </xf>
    <xf numFmtId="38" fontId="22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5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4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6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8" fillId="39" borderId="25" xfId="0" applyNumberFormat="1" applyFont="1" applyFill="1" applyBorder="1" applyAlignment="1" applyProtection="1" quotePrefix="1">
      <alignment horizontal="center"/>
      <protection/>
    </xf>
    <xf numFmtId="183" fontId="165" fillId="42" borderId="25" xfId="0" applyNumberFormat="1" applyFont="1" applyFill="1" applyBorder="1" applyAlignment="1" applyProtection="1" quotePrefix="1">
      <alignment horizontal="center"/>
      <protection/>
    </xf>
    <xf numFmtId="183" fontId="166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2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7" fillId="38" borderId="107" xfId="0" applyNumberFormat="1" applyFont="1" applyFill="1" applyBorder="1" applyAlignment="1" applyProtection="1">
      <alignment horizontal="center"/>
      <protection/>
    </xf>
    <xf numFmtId="174" fontId="16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66" fontId="16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9" fillId="49" borderId="0" xfId="60" applyFont="1" applyFill="1" applyBorder="1" applyAlignment="1" applyProtection="1">
      <alignment horizontal="center"/>
      <protection/>
    </xf>
    <xf numFmtId="166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2" fillId="45" borderId="0" xfId="63" applyNumberFormat="1" applyFont="1" applyFill="1" applyBorder="1" applyAlignment="1" applyProtection="1">
      <alignment/>
      <protection/>
    </xf>
    <xf numFmtId="0" fontId="170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70" fillId="35" borderId="0" xfId="62" applyFont="1" applyFill="1" applyBorder="1" applyAlignment="1" applyProtection="1">
      <alignment/>
      <protection/>
    </xf>
    <xf numFmtId="0" fontId="169" fillId="33" borderId="0" xfId="60" applyFont="1" applyFill="1" applyBorder="1" applyAlignment="1" applyProtection="1">
      <alignment horizontal="center"/>
      <protection/>
    </xf>
    <xf numFmtId="164" fontId="66" fillId="50" borderId="32" xfId="62" applyNumberFormat="1" applyFont="1" applyFill="1" applyBorder="1" applyAlignment="1" applyProtection="1">
      <alignment horizontal="center" vertical="center"/>
      <protection locked="0"/>
    </xf>
    <xf numFmtId="166" fontId="150" fillId="32" borderId="0" xfId="63" applyNumberFormat="1" applyFont="1" applyFill="1" applyAlignment="1" applyProtection="1">
      <alignment/>
      <protection/>
    </xf>
    <xf numFmtId="0" fontId="153" fillId="35" borderId="0" xfId="62" applyFont="1" applyFill="1" applyBorder="1" applyProtection="1">
      <alignment/>
      <protection/>
    </xf>
    <xf numFmtId="0" fontId="171" fillId="35" borderId="0" xfId="62" applyFont="1" applyFill="1" applyBorder="1" applyProtection="1">
      <alignment/>
      <protection/>
    </xf>
    <xf numFmtId="0" fontId="171" fillId="35" borderId="0" xfId="62" applyFont="1" applyFill="1" applyProtection="1">
      <alignment/>
      <protection/>
    </xf>
    <xf numFmtId="172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20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20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32" borderId="50" xfId="0" applyFont="1" applyFill="1" applyBorder="1" applyAlignment="1" applyProtection="1">
      <alignment horizontal="center"/>
      <protection locked="0"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164" fontId="175" fillId="33" borderId="32" xfId="62" applyNumberFormat="1" applyFont="1" applyFill="1" applyBorder="1" applyAlignment="1" applyProtection="1">
      <alignment horizontal="center" vertical="center"/>
      <protection/>
    </xf>
    <xf numFmtId="0" fontId="16" fillId="33" borderId="32" xfId="62" applyNumberFormat="1" applyFont="1" applyFill="1" applyBorder="1" applyAlignment="1" applyProtection="1">
      <alignment horizontal="center" vertical="center"/>
      <protection/>
    </xf>
    <xf numFmtId="0" fontId="16" fillId="38" borderId="32" xfId="62" applyNumberFormat="1" applyFont="1" applyFill="1" applyBorder="1" applyAlignment="1" applyProtection="1">
      <alignment horizontal="center" vertical="center"/>
      <protection locked="0"/>
    </xf>
    <xf numFmtId="38" fontId="19" fillId="33" borderId="65" xfId="63" applyNumberFormat="1" applyFont="1" applyFill="1" applyBorder="1" applyAlignment="1" applyProtection="1">
      <alignment/>
      <protection/>
    </xf>
    <xf numFmtId="38" fontId="19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6" fillId="33" borderId="0" xfId="57" applyNumberFormat="1" applyFont="1" applyFill="1" applyBorder="1" applyAlignment="1">
      <alignment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0" fontId="23" fillId="33" borderId="0" xfId="57" applyFont="1" applyFill="1">
      <alignment/>
      <protection/>
    </xf>
    <xf numFmtId="171" fontId="176" fillId="33" borderId="0" xfId="57" applyNumberFormat="1" applyFont="1" applyFill="1" applyBorder="1" applyAlignment="1">
      <alignment/>
      <protection/>
    </xf>
    <xf numFmtId="171" fontId="177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3" fillId="33" borderId="0" xfId="57" applyNumberFormat="1" applyFont="1" applyFill="1" applyBorder="1" applyAlignment="1">
      <alignment/>
      <protection/>
    </xf>
    <xf numFmtId="171" fontId="72" fillId="51" borderId="0" xfId="57" applyNumberFormat="1" applyFont="1" applyFill="1" applyBorder="1" applyAlignment="1">
      <alignment horizontal="center"/>
      <protection/>
    </xf>
    <xf numFmtId="0" fontId="17" fillId="33" borderId="0" xfId="57" applyFont="1" applyFill="1" applyBorder="1">
      <alignment/>
      <protection/>
    </xf>
    <xf numFmtId="168" fontId="72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9" fillId="33" borderId="74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8" fillId="32" borderId="119" xfId="0" applyNumberFormat="1" applyFont="1" applyFill="1" applyBorder="1" applyAlignment="1" applyProtection="1" quotePrefix="1">
      <alignment/>
      <protection/>
    </xf>
    <xf numFmtId="166" fontId="179" fillId="32" borderId="37" xfId="0" applyNumberFormat="1" applyFont="1" applyFill="1" applyBorder="1" applyAlignment="1" applyProtection="1" quotePrefix="1">
      <alignment/>
      <protection/>
    </xf>
    <xf numFmtId="166" fontId="178" fillId="33" borderId="90" xfId="0" applyNumberFormat="1" applyFont="1" applyFill="1" applyBorder="1" applyAlignment="1" applyProtection="1" quotePrefix="1">
      <alignment/>
      <protection/>
    </xf>
    <xf numFmtId="166" fontId="179" fillId="33" borderId="91" xfId="0" applyNumberFormat="1" applyFont="1" applyFill="1" applyBorder="1" applyAlignment="1" applyProtection="1" quotePrefix="1">
      <alignment/>
      <protection/>
    </xf>
    <xf numFmtId="166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50" fillId="43" borderId="121" xfId="0" applyNumberFormat="1" applyFont="1" applyFill="1" applyBorder="1" applyAlignment="1" applyProtection="1">
      <alignment horizontal="center"/>
      <protection/>
    </xf>
    <xf numFmtId="174" fontId="180" fillId="52" borderId="121" xfId="0" applyNumberFormat="1" applyFont="1" applyFill="1" applyBorder="1" applyAlignment="1" applyProtection="1">
      <alignment horizontal="center"/>
      <protection/>
    </xf>
    <xf numFmtId="174" fontId="181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50" fillId="53" borderId="121" xfId="0" applyNumberFormat="1" applyFont="1" applyFill="1" applyBorder="1" applyAlignment="1" applyProtection="1">
      <alignment horizontal="center"/>
      <protection/>
    </xf>
    <xf numFmtId="174" fontId="182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184" fillId="40" borderId="121" xfId="0" applyNumberFormat="1" applyFont="1" applyFill="1" applyBorder="1" applyAlignment="1" applyProtection="1">
      <alignment horizontal="center"/>
      <protection/>
    </xf>
    <xf numFmtId="174" fontId="22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7" fillId="38" borderId="122" xfId="0" applyNumberFormat="1" applyFont="1" applyFill="1" applyBorder="1" applyAlignment="1" applyProtection="1">
      <alignment horizontal="center"/>
      <protection/>
    </xf>
    <xf numFmtId="174" fontId="16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6" fillId="32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quotePrefix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21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69" fontId="176" fillId="38" borderId="0" xfId="57" applyNumberFormat="1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171" fontId="177" fillId="33" borderId="0" xfId="57" applyNumberFormat="1" applyFont="1" applyFill="1" applyBorder="1" applyAlignment="1">
      <alignment horizontal="center"/>
      <protection/>
    </xf>
    <xf numFmtId="169" fontId="177" fillId="51" borderId="0" xfId="57" applyNumberFormat="1" applyFont="1" applyFill="1" applyBorder="1" applyAlignment="1">
      <alignment horizontal="center"/>
      <protection/>
    </xf>
    <xf numFmtId="169" fontId="176" fillId="33" borderId="0" xfId="57" applyNumberFormat="1" applyFont="1" applyFill="1" applyBorder="1" applyAlignment="1">
      <alignment horizontal="center"/>
      <protection/>
    </xf>
    <xf numFmtId="168" fontId="176" fillId="32" borderId="0" xfId="57" applyNumberFormat="1" applyFont="1" applyFill="1" applyBorder="1" applyAlignment="1">
      <alignment horizontal="center"/>
      <protection/>
    </xf>
    <xf numFmtId="170" fontId="176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6" fillId="38" borderId="0" xfId="57" applyNumberFormat="1" applyFont="1" applyFill="1" applyBorder="1" applyAlignment="1">
      <alignment horizontal="center"/>
      <protection/>
    </xf>
    <xf numFmtId="178" fontId="185" fillId="46" borderId="33" xfId="57" applyNumberFormat="1" applyFont="1" applyFill="1" applyBorder="1" applyAlignment="1" applyProtection="1">
      <alignment horizontal="center" vertical="center"/>
      <protection locked="0"/>
    </xf>
    <xf numFmtId="178" fontId="185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2" fillId="46" borderId="47" xfId="63" applyNumberFormat="1" applyFont="1" applyFill="1" applyBorder="1" applyAlignment="1" applyProtection="1">
      <alignment horizontal="center"/>
      <protection/>
    </xf>
    <xf numFmtId="38" fontId="22" fillId="46" borderId="48" xfId="63" applyNumberFormat="1" applyFont="1" applyFill="1" applyBorder="1" applyAlignment="1" applyProtection="1">
      <alignment horizontal="center"/>
      <protection/>
    </xf>
    <xf numFmtId="38" fontId="22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16" fillId="33" borderId="65" xfId="63" applyNumberFormat="1" applyFont="1" applyFill="1" applyBorder="1" applyAlignment="1" applyProtection="1">
      <alignment horizontal="center"/>
      <protection/>
    </xf>
    <xf numFmtId="38" fontId="16" fillId="33" borderId="54" xfId="63" applyNumberFormat="1" applyFont="1" applyFill="1" applyBorder="1" applyAlignment="1" applyProtection="1">
      <alignment horizontal="center"/>
      <protection/>
    </xf>
    <xf numFmtId="38" fontId="16" fillId="33" borderId="55" xfId="63" applyNumberFormat="1" applyFont="1" applyFill="1" applyBorder="1" applyAlignment="1" applyProtection="1">
      <alignment horizontal="center"/>
      <protection/>
    </xf>
    <xf numFmtId="38" fontId="57" fillId="33" borderId="67" xfId="63" applyNumberFormat="1" applyFont="1" applyFill="1" applyBorder="1" applyAlignment="1" applyProtection="1">
      <alignment horizontal="center"/>
      <protection/>
    </xf>
    <xf numFmtId="38" fontId="57" fillId="33" borderId="50" xfId="63" applyNumberFormat="1" applyFont="1" applyFill="1" applyBorder="1" applyAlignment="1" applyProtection="1">
      <alignment horizontal="center"/>
      <protection/>
    </xf>
    <xf numFmtId="38" fontId="57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3" fillId="47" borderId="65" xfId="63" applyNumberFormat="1" applyFont="1" applyFill="1" applyBorder="1" applyAlignment="1" applyProtection="1">
      <alignment horizontal="center"/>
      <protection/>
    </xf>
    <xf numFmtId="38" fontId="163" fillId="47" borderId="54" xfId="63" applyNumberFormat="1" applyFont="1" applyFill="1" applyBorder="1" applyAlignment="1" applyProtection="1">
      <alignment horizontal="center"/>
      <protection/>
    </xf>
    <xf numFmtId="38" fontId="163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30" fillId="44" borderId="56" xfId="63" applyNumberFormat="1" applyFont="1" applyFill="1" applyBorder="1" applyAlignment="1" applyProtection="1">
      <alignment horizontal="center"/>
      <protection/>
    </xf>
    <xf numFmtId="38" fontId="30" fillId="44" borderId="58" xfId="63" applyNumberFormat="1" applyFont="1" applyFill="1" applyBorder="1" applyAlignment="1" applyProtection="1">
      <alignment horizontal="center"/>
      <protection/>
    </xf>
    <xf numFmtId="38" fontId="30" fillId="44" borderId="59" xfId="63" applyNumberFormat="1" applyFont="1" applyFill="1" applyBorder="1" applyAlignment="1" applyProtection="1">
      <alignment horizontal="center"/>
      <protection/>
    </xf>
    <xf numFmtId="38" fontId="30" fillId="44" borderId="64" xfId="63" applyNumberFormat="1" applyFont="1" applyFill="1" applyBorder="1" applyAlignment="1" applyProtection="1">
      <alignment horizontal="center"/>
      <protection/>
    </xf>
    <xf numFmtId="38" fontId="30" fillId="44" borderId="52" xfId="63" applyNumberFormat="1" applyFont="1" applyFill="1" applyBorder="1" applyAlignment="1" applyProtection="1">
      <alignment horizontal="center"/>
      <protection/>
    </xf>
    <xf numFmtId="38" fontId="30" fillId="44" borderId="53" xfId="63" applyNumberFormat="1" applyFont="1" applyFill="1" applyBorder="1" applyAlignment="1" applyProtection="1">
      <alignment horizontal="center"/>
      <protection/>
    </xf>
    <xf numFmtId="38" fontId="30" fillId="44" borderId="65" xfId="63" applyNumberFormat="1" applyFont="1" applyFill="1" applyBorder="1" applyAlignment="1" applyProtection="1">
      <alignment horizontal="center"/>
      <protection/>
    </xf>
    <xf numFmtId="38" fontId="30" fillId="44" borderId="54" xfId="63" applyNumberFormat="1" applyFont="1" applyFill="1" applyBorder="1" applyAlignment="1" applyProtection="1">
      <alignment horizontal="center"/>
      <protection/>
    </xf>
    <xf numFmtId="38" fontId="30" fillId="44" borderId="55" xfId="63" applyNumberFormat="1" applyFont="1" applyFill="1" applyBorder="1" applyAlignment="1" applyProtection="1">
      <alignment horizontal="center"/>
      <protection/>
    </xf>
    <xf numFmtId="0" fontId="186" fillId="32" borderId="0" xfId="59" applyFont="1" applyFill="1" applyBorder="1" applyAlignment="1" applyProtection="1">
      <alignment horizontal="center"/>
      <protection/>
    </xf>
    <xf numFmtId="177" fontId="160" fillId="33" borderId="33" xfId="59" applyNumberFormat="1" applyFont="1" applyFill="1" applyBorder="1" applyAlignment="1" applyProtection="1">
      <alignment horizontal="center"/>
      <protection/>
    </xf>
    <xf numFmtId="177" fontId="160" fillId="33" borderId="48" xfId="59" applyNumberFormat="1" applyFont="1" applyFill="1" applyBorder="1" applyAlignment="1" applyProtection="1">
      <alignment horizontal="center"/>
      <protection/>
    </xf>
    <xf numFmtId="177" fontId="160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8" fillId="50" borderId="17" xfId="62" applyFont="1" applyFill="1" applyBorder="1" applyAlignment="1" applyProtection="1">
      <alignment horizontal="center" vertical="top"/>
      <protection/>
    </xf>
    <xf numFmtId="0" fontId="18" fillId="50" borderId="0" xfId="62" applyFont="1" applyFill="1" applyBorder="1" applyAlignment="1" applyProtection="1">
      <alignment horizontal="center" vertical="top"/>
      <protection/>
    </xf>
    <xf numFmtId="0" fontId="18" fillId="50" borderId="18" xfId="62" applyFont="1" applyFill="1" applyBorder="1" applyAlignment="1" applyProtection="1">
      <alignment horizontal="center" vertical="top"/>
      <protection/>
    </xf>
    <xf numFmtId="177" fontId="187" fillId="32" borderId="0" xfId="59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79" fontId="150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50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2" fillId="36" borderId="33" xfId="53" applyFill="1" applyBorder="1" applyAlignment="1" applyProtection="1">
      <alignment horizontal="center" vertical="center"/>
      <protection locked="0"/>
    </xf>
    <xf numFmtId="0" fontId="188" fillId="36" borderId="48" xfId="53" applyFont="1" applyFill="1" applyBorder="1" applyAlignment="1" applyProtection="1">
      <alignment horizontal="center" vertical="center"/>
      <protection locked="0"/>
    </xf>
    <xf numFmtId="0" fontId="188" fillId="36" borderId="34" xfId="53" applyFont="1" applyFill="1" applyBorder="1" applyAlignment="1" applyProtection="1">
      <alignment horizontal="center" vertical="center"/>
      <protection locked="0"/>
    </xf>
    <xf numFmtId="38" fontId="142" fillId="33" borderId="33" xfId="53" applyNumberFormat="1" applyFill="1" applyBorder="1" applyAlignment="1" applyProtection="1">
      <alignment horizontal="center" vertical="center"/>
      <protection locked="0"/>
    </xf>
    <xf numFmtId="38" fontId="189" fillId="33" borderId="48" xfId="53" applyNumberFormat="1" applyFont="1" applyFill="1" applyBorder="1" applyAlignment="1" applyProtection="1">
      <alignment horizontal="center" vertical="center"/>
      <protection locked="0"/>
    </xf>
    <xf numFmtId="38" fontId="189" fillId="33" borderId="34" xfId="53" applyNumberFormat="1" applyFont="1" applyFill="1" applyBorder="1" applyAlignment="1" applyProtection="1">
      <alignment horizontal="center" vertical="center"/>
      <protection locked="0"/>
    </xf>
    <xf numFmtId="0" fontId="28" fillId="50" borderId="124" xfId="62" applyFont="1" applyFill="1" applyBorder="1" applyAlignment="1" applyProtection="1" quotePrefix="1">
      <alignment horizontal="center" wrapText="1"/>
      <protection locked="0"/>
    </xf>
    <xf numFmtId="0" fontId="28" fillId="50" borderId="58" xfId="62" applyFont="1" applyFill="1" applyBorder="1" applyAlignment="1" applyProtection="1">
      <alignment horizontal="center" wrapText="1"/>
      <protection locked="0"/>
    </xf>
    <xf numFmtId="0" fontId="28" fillId="50" borderId="125" xfId="62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90" fillId="32" borderId="50" xfId="57" applyFont="1" applyFill="1" applyBorder="1" applyAlignment="1" applyProtection="1" quotePrefix="1">
      <alignment horizontal="center"/>
      <protection/>
    </xf>
    <xf numFmtId="0" fontId="191" fillId="38" borderId="21" xfId="62" applyFont="1" applyFill="1" applyBorder="1" applyAlignment="1" applyProtection="1">
      <alignment horizontal="center" vertical="center" wrapText="1"/>
      <protection locked="0"/>
    </xf>
    <xf numFmtId="0" fontId="191" fillId="38" borderId="22" xfId="62" applyFont="1" applyFill="1" applyBorder="1" applyAlignment="1" applyProtection="1">
      <alignment horizontal="center" vertical="center" wrapText="1"/>
      <protection locked="0"/>
    </xf>
    <xf numFmtId="0" fontId="191" fillId="38" borderId="23" xfId="62" applyFont="1" applyFill="1" applyBorder="1" applyAlignment="1" applyProtection="1">
      <alignment horizontal="center" vertical="center" wrapText="1"/>
      <protection locked="0"/>
    </xf>
    <xf numFmtId="0" fontId="192" fillId="33" borderId="66" xfId="60" applyFont="1" applyFill="1" applyBorder="1" applyAlignment="1" applyProtection="1">
      <alignment horizontal="center"/>
      <protection/>
    </xf>
    <xf numFmtId="0" fontId="192" fillId="33" borderId="0" xfId="60" applyFont="1" applyFill="1" applyBorder="1" applyAlignment="1" applyProtection="1">
      <alignment horizontal="center"/>
      <protection/>
    </xf>
    <xf numFmtId="0" fontId="192" fillId="33" borderId="35" xfId="60" applyFont="1" applyFill="1" applyBorder="1" applyAlignment="1" applyProtection="1">
      <alignment horizontal="center"/>
      <protection/>
    </xf>
    <xf numFmtId="0" fontId="169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7" fillId="33" borderId="0" xfId="59" applyNumberFormat="1" applyFont="1" applyFill="1" applyBorder="1" applyAlignment="1" applyProtection="1">
      <alignment horizontal="center"/>
      <protection/>
    </xf>
    <xf numFmtId="0" fontId="190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2" fillId="33" borderId="119" xfId="60" applyFont="1" applyFill="1" applyBorder="1" applyAlignment="1" applyProtection="1">
      <alignment horizontal="center"/>
      <protection/>
    </xf>
    <xf numFmtId="0" fontId="192" fillId="33" borderId="126" xfId="60" applyFont="1" applyFill="1" applyBorder="1" applyAlignment="1" applyProtection="1">
      <alignment horizontal="center"/>
      <protection/>
    </xf>
    <xf numFmtId="0" fontId="22" fillId="36" borderId="124" xfId="62" applyFont="1" applyFill="1" applyBorder="1" applyAlignment="1" applyProtection="1" quotePrefix="1">
      <alignment horizontal="center" wrapText="1"/>
      <protection/>
    </xf>
    <xf numFmtId="0" fontId="22" fillId="36" borderId="58" xfId="62" applyFont="1" applyFill="1" applyBorder="1" applyAlignment="1" applyProtection="1">
      <alignment horizontal="center" wrapText="1"/>
      <protection/>
    </xf>
    <xf numFmtId="0" fontId="22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5" fillId="46" borderId="33" xfId="57" applyNumberFormat="1" applyFont="1" applyFill="1" applyBorder="1" applyAlignment="1" applyProtection="1">
      <alignment horizontal="center" vertical="center"/>
      <protection/>
    </xf>
    <xf numFmtId="178" fontId="185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7" fillId="33" borderId="21" xfId="62" applyFont="1" applyFill="1" applyBorder="1" applyAlignment="1" applyProtection="1">
      <alignment horizontal="center" vertical="center" wrapText="1"/>
      <protection/>
    </xf>
    <xf numFmtId="0" fontId="67" fillId="33" borderId="22" xfId="62" applyFont="1" applyFill="1" applyBorder="1" applyAlignment="1" applyProtection="1">
      <alignment horizontal="center" vertical="center" wrapText="1"/>
      <protection/>
    </xf>
    <xf numFmtId="0" fontId="67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3" fillId="36" borderId="33" xfId="53" applyFont="1" applyFill="1" applyBorder="1" applyAlignment="1" applyProtection="1">
      <alignment horizontal="center" vertical="center"/>
      <protection/>
    </xf>
    <xf numFmtId="0" fontId="193" fillId="36" borderId="48" xfId="53" applyFont="1" applyFill="1" applyBorder="1" applyAlignment="1" applyProtection="1">
      <alignment horizontal="center" vertical="center"/>
      <protection/>
    </xf>
    <xf numFmtId="0" fontId="193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5" zoomScaleNormal="85" zoomScalePageLayoutView="0" workbookViewId="0" topLeftCell="A1">
      <pane xSplit="5" ySplit="12" topLeftCell="F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26" sqref="I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350</v>
      </c>
      <c r="C1" s="642"/>
      <c r="D1" s="642"/>
      <c r="E1" s="642"/>
      <c r="F1" s="643"/>
      <c r="G1" s="467" t="s">
        <v>274</v>
      </c>
      <c r="H1" s="460"/>
      <c r="I1" s="633">
        <v>695388</v>
      </c>
      <c r="J1" s="634"/>
      <c r="K1" s="461"/>
      <c r="L1" s="469" t="s">
        <v>275</v>
      </c>
      <c r="M1" s="465">
        <v>2300</v>
      </c>
      <c r="N1" s="461"/>
      <c r="O1" s="469" t="s">
        <v>267</v>
      </c>
      <c r="P1" s="488">
        <v>29409459</v>
      </c>
      <c r="Q1" s="462"/>
      <c r="R1" s="376" t="s">
        <v>323</v>
      </c>
      <c r="S1" s="571">
        <v>2300</v>
      </c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 t="s">
        <v>351</v>
      </c>
      <c r="I3" s="639"/>
      <c r="J3" s="639"/>
      <c r="K3" s="640"/>
      <c r="L3" s="28" t="s">
        <v>276</v>
      </c>
      <c r="M3" s="635" t="s">
        <v>352</v>
      </c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МТИТС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259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30.09.2017 г.</v>
      </c>
      <c r="G11" s="430">
        <f>+P5-1</f>
        <v>2016</v>
      </c>
      <c r="H11" s="15"/>
      <c r="I11" s="130" t="str">
        <f>+O8</f>
        <v>30.09.2017 г.</v>
      </c>
      <c r="J11" s="431">
        <f>+P5-1</f>
        <v>2016</v>
      </c>
      <c r="K11" s="16"/>
      <c r="L11" s="128" t="str">
        <f>+O8</f>
        <v>30.09.2017 г.</v>
      </c>
      <c r="M11" s="432">
        <f>+P5-1</f>
        <v>2016</v>
      </c>
      <c r="N11" s="16"/>
      <c r="O11" s="386" t="str">
        <f>+O8</f>
        <v>30.09.2017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14203025</v>
      </c>
      <c r="G16" s="260">
        <v>19468738</v>
      </c>
      <c r="H16" s="15"/>
      <c r="I16" s="261"/>
      <c r="J16" s="260"/>
      <c r="K16" s="256"/>
      <c r="L16" s="261"/>
      <c r="M16" s="260"/>
      <c r="N16" s="256"/>
      <c r="O16" s="393">
        <f t="shared" si="0"/>
        <v>14203025</v>
      </c>
      <c r="P16" s="446">
        <f t="shared" si="0"/>
        <v>19468738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3281783</v>
      </c>
      <c r="G17" s="260">
        <v>3939730</v>
      </c>
      <c r="H17" s="15"/>
      <c r="I17" s="261"/>
      <c r="J17" s="260"/>
      <c r="K17" s="256"/>
      <c r="L17" s="261"/>
      <c r="M17" s="260"/>
      <c r="N17" s="256"/>
      <c r="O17" s="393">
        <f t="shared" si="0"/>
        <v>3281783</v>
      </c>
      <c r="P17" s="446">
        <f t="shared" si="0"/>
        <v>3939730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63131</v>
      </c>
      <c r="G18" s="260">
        <v>131619</v>
      </c>
      <c r="H18" s="15"/>
      <c r="I18" s="261">
        <v>4401</v>
      </c>
      <c r="J18" s="260"/>
      <c r="K18" s="256"/>
      <c r="L18" s="261"/>
      <c r="M18" s="260"/>
      <c r="N18" s="256"/>
      <c r="O18" s="393">
        <f t="shared" si="0"/>
        <v>67532</v>
      </c>
      <c r="P18" s="446">
        <f t="shared" si="0"/>
        <v>131619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293014</v>
      </c>
      <c r="G19" s="260">
        <v>355786</v>
      </c>
      <c r="H19" s="15"/>
      <c r="I19" s="261"/>
      <c r="J19" s="260"/>
      <c r="K19" s="256"/>
      <c r="L19" s="261"/>
      <c r="M19" s="260"/>
      <c r="N19" s="256"/>
      <c r="O19" s="393">
        <f t="shared" si="0"/>
        <v>293014</v>
      </c>
      <c r="P19" s="446">
        <f t="shared" si="0"/>
        <v>355786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36778396</v>
      </c>
      <c r="G20" s="260">
        <v>33619891</v>
      </c>
      <c r="H20" s="15"/>
      <c r="I20" s="261"/>
      <c r="J20" s="260"/>
      <c r="K20" s="256"/>
      <c r="L20" s="261"/>
      <c r="M20" s="260"/>
      <c r="N20" s="256"/>
      <c r="O20" s="393">
        <f t="shared" si="0"/>
        <v>36778396</v>
      </c>
      <c r="P20" s="446">
        <f t="shared" si="0"/>
        <v>33619891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1601059</v>
      </c>
      <c r="G21" s="260">
        <v>4154301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1601059</v>
      </c>
      <c r="P21" s="446">
        <f t="shared" si="0"/>
        <v>4154301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>
        <v>64515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64515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51011</v>
      </c>
      <c r="G23" s="262">
        <v>282890</v>
      </c>
      <c r="H23" s="15"/>
      <c r="I23" s="263"/>
      <c r="J23" s="262"/>
      <c r="K23" s="256"/>
      <c r="L23" s="263"/>
      <c r="M23" s="262"/>
      <c r="N23" s="256"/>
      <c r="O23" s="394">
        <f t="shared" si="0"/>
        <v>51011</v>
      </c>
      <c r="P23" s="417">
        <f t="shared" si="0"/>
        <v>282890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56271419</v>
      </c>
      <c r="G24" s="264">
        <f>+ROUND(+SUM(G15:G23),0)</f>
        <v>62017470</v>
      </c>
      <c r="H24" s="15"/>
      <c r="I24" s="265">
        <f>+ROUND(+SUM(I15:I23),0)</f>
        <v>4401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56275820</v>
      </c>
      <c r="P24" s="396">
        <f>+ROUND(+SUM(P15:P23),0)</f>
        <v>62017470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887304</v>
      </c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887304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12216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12216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887304</v>
      </c>
      <c r="G29" s="264">
        <f>+ROUND(+SUM(G26:G28),0)</f>
        <v>12216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887304</v>
      </c>
      <c r="P29" s="396">
        <f>+ROUND(+SUM(P26:P28),0)</f>
        <v>12216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f>-8664692</f>
        <v>-8664692</v>
      </c>
      <c r="G36" s="276">
        <v>-10033787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-8664692</v>
      </c>
      <c r="P36" s="396">
        <f t="shared" si="2"/>
        <v>-10033787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-6847559</v>
      </c>
      <c r="G37" s="278">
        <v>-6217789</v>
      </c>
      <c r="H37" s="15"/>
      <c r="I37" s="279"/>
      <c r="J37" s="278"/>
      <c r="K37" s="256"/>
      <c r="L37" s="279"/>
      <c r="M37" s="278"/>
      <c r="N37" s="256"/>
      <c r="O37" s="408">
        <f t="shared" si="2"/>
        <v>-6847559</v>
      </c>
      <c r="P37" s="447">
        <f t="shared" si="2"/>
        <v>-6217789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-811541</v>
      </c>
      <c r="G38" s="280">
        <v>-2514766</v>
      </c>
      <c r="H38" s="15"/>
      <c r="I38" s="281"/>
      <c r="J38" s="280"/>
      <c r="K38" s="256"/>
      <c r="L38" s="281"/>
      <c r="M38" s="280"/>
      <c r="N38" s="256"/>
      <c r="O38" s="409">
        <f t="shared" si="2"/>
        <v>-811541</v>
      </c>
      <c r="P38" s="448">
        <f t="shared" si="2"/>
        <v>-2514766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6559</v>
      </c>
      <c r="G41" s="276">
        <v>9024</v>
      </c>
      <c r="H41" s="15"/>
      <c r="I41" s="277"/>
      <c r="J41" s="276"/>
      <c r="K41" s="256"/>
      <c r="L41" s="277"/>
      <c r="M41" s="276"/>
      <c r="N41" s="256"/>
      <c r="O41" s="395">
        <f>+ROUND(+F41+I41+L41,0)</f>
        <v>6559</v>
      </c>
      <c r="P41" s="396">
        <f>+ROUND(+G41+J41+M41,0)</f>
        <v>9024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-2301</v>
      </c>
      <c r="G43" s="258">
        <v>-449229</v>
      </c>
      <c r="H43" s="15"/>
      <c r="I43" s="259">
        <v>308441</v>
      </c>
      <c r="J43" s="258">
        <v>2043632</v>
      </c>
      <c r="K43" s="256"/>
      <c r="L43" s="259"/>
      <c r="M43" s="258"/>
      <c r="N43" s="256"/>
      <c r="O43" s="398">
        <f aca="true" t="shared" si="3" ref="O43:P46">+ROUND(+F43+I43+L43,0)</f>
        <v>306140</v>
      </c>
      <c r="P43" s="411">
        <f t="shared" si="3"/>
        <v>1594403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>
        <v>2000</v>
      </c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2000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-2301</v>
      </c>
      <c r="G47" s="264">
        <f>+ROUND(+SUM(G43:G46),0)</f>
        <v>-447229</v>
      </c>
      <c r="H47" s="15"/>
      <c r="I47" s="265">
        <f>+ROUND(+SUM(I43:I46),0)</f>
        <v>308441</v>
      </c>
      <c r="J47" s="264">
        <f>+ROUND(+SUM(J43:J46),0)</f>
        <v>2043632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306140</v>
      </c>
      <c r="P47" s="396">
        <f>+ROUND(+SUM(P43:P46),0)</f>
        <v>1596403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48498289</v>
      </c>
      <c r="G49" s="286">
        <f>+ROUND(G24+G29+G36+G41+G47,0)</f>
        <v>51557694</v>
      </c>
      <c r="H49" s="15"/>
      <c r="I49" s="287">
        <f>+ROUND(I24+I29+I36+I41+I47,0)</f>
        <v>312842</v>
      </c>
      <c r="J49" s="286">
        <f>+ROUND(J24+J29+J36+J41+J47,0)</f>
        <v>2043632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48811131</v>
      </c>
      <c r="P49" s="413">
        <f>+ROUND(P24+P29+P36+P41+P47,0)</f>
        <v>53601326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f>12427341-F53+221335</f>
        <v>12416807</v>
      </c>
      <c r="G52" s="288">
        <v>27162250</v>
      </c>
      <c r="H52" s="15"/>
      <c r="I52" s="289">
        <f>189031-I53+2848981</f>
        <v>3037833</v>
      </c>
      <c r="J52" s="288">
        <v>1712905</v>
      </c>
      <c r="K52" s="256"/>
      <c r="L52" s="289"/>
      <c r="M52" s="288"/>
      <c r="N52" s="256"/>
      <c r="O52" s="399">
        <f aca="true" t="shared" si="4" ref="O52:P56">+ROUND(+F52+I52+L52,0)</f>
        <v>15454640</v>
      </c>
      <c r="P52" s="392">
        <f t="shared" si="4"/>
        <v>28875155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231869</v>
      </c>
      <c r="G53" s="262">
        <v>934762</v>
      </c>
      <c r="H53" s="15"/>
      <c r="I53" s="263">
        <f>179</f>
        <v>179</v>
      </c>
      <c r="J53" s="262">
        <v>75</v>
      </c>
      <c r="K53" s="256"/>
      <c r="L53" s="263"/>
      <c r="M53" s="262"/>
      <c r="N53" s="256"/>
      <c r="O53" s="394">
        <f t="shared" si="4"/>
        <v>232048</v>
      </c>
      <c r="P53" s="417">
        <f t="shared" si="4"/>
        <v>934837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283267</v>
      </c>
      <c r="G54" s="262">
        <v>502330</v>
      </c>
      <c r="H54" s="15"/>
      <c r="I54" s="263">
        <f>380</f>
        <v>380</v>
      </c>
      <c r="J54" s="262"/>
      <c r="K54" s="256"/>
      <c r="L54" s="263"/>
      <c r="M54" s="262"/>
      <c r="N54" s="256"/>
      <c r="O54" s="394">
        <f t="shared" si="4"/>
        <v>283647</v>
      </c>
      <c r="P54" s="417">
        <f t="shared" si="4"/>
        <v>502330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18510284</v>
      </c>
      <c r="G55" s="262">
        <v>28641466</v>
      </c>
      <c r="H55" s="15"/>
      <c r="I55" s="263">
        <f>71653+41477+1269479+30651</f>
        <v>1413260</v>
      </c>
      <c r="J55" s="262">
        <v>2003319</v>
      </c>
      <c r="K55" s="256"/>
      <c r="L55" s="263"/>
      <c r="M55" s="262"/>
      <c r="N55" s="256"/>
      <c r="O55" s="394">
        <f t="shared" si="4"/>
        <v>19923544</v>
      </c>
      <c r="P55" s="417">
        <f t="shared" si="4"/>
        <v>30644785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4491543</v>
      </c>
      <c r="G56" s="262">
        <v>6785871</v>
      </c>
      <c r="H56" s="15"/>
      <c r="I56" s="263">
        <f>25308+344959</f>
        <v>370267</v>
      </c>
      <c r="J56" s="262">
        <v>489954</v>
      </c>
      <c r="K56" s="256"/>
      <c r="L56" s="263"/>
      <c r="M56" s="262"/>
      <c r="N56" s="256"/>
      <c r="O56" s="394">
        <f t="shared" si="4"/>
        <v>4861810</v>
      </c>
      <c r="P56" s="417">
        <f t="shared" si="4"/>
        <v>7275825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35933770</v>
      </c>
      <c r="G57" s="290">
        <f>+ROUND(+SUM(G52:G56),0)</f>
        <v>64026679</v>
      </c>
      <c r="H57" s="15"/>
      <c r="I57" s="291">
        <f>+ROUND(+SUM(I52:I56),0)</f>
        <v>4821919</v>
      </c>
      <c r="J57" s="290">
        <f>+ROUND(+SUM(J52:J56),0)</f>
        <v>4206253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40755689</v>
      </c>
      <c r="P57" s="415">
        <f>+ROUND(+SUM(P52:P56),0)</f>
        <v>68232932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6243612</v>
      </c>
      <c r="G60" s="262">
        <v>12630883</v>
      </c>
      <c r="H60" s="15"/>
      <c r="I60" s="263">
        <f>1430880+1794061+2144613</f>
        <v>5369554</v>
      </c>
      <c r="J60" s="262">
        <v>4291853</v>
      </c>
      <c r="K60" s="256"/>
      <c r="L60" s="263"/>
      <c r="M60" s="262"/>
      <c r="N60" s="256"/>
      <c r="O60" s="394">
        <f t="shared" si="5"/>
        <v>11613166</v>
      </c>
      <c r="P60" s="417">
        <f t="shared" si="5"/>
        <v>16922736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116521</v>
      </c>
      <c r="G61" s="262">
        <v>662290</v>
      </c>
      <c r="H61" s="15"/>
      <c r="I61" s="263">
        <v>65013</v>
      </c>
      <c r="J61" s="262"/>
      <c r="K61" s="256"/>
      <c r="L61" s="263"/>
      <c r="M61" s="262"/>
      <c r="N61" s="256"/>
      <c r="O61" s="394">
        <f t="shared" si="5"/>
        <v>181534</v>
      </c>
      <c r="P61" s="417">
        <f t="shared" si="5"/>
        <v>662290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6360133</v>
      </c>
      <c r="G64" s="290">
        <f>+ROUND(+SUM(G59:G62),0)</f>
        <v>13293173</v>
      </c>
      <c r="H64" s="15"/>
      <c r="I64" s="291">
        <f>+ROUND(+SUM(I59:I62),0)</f>
        <v>5434567</v>
      </c>
      <c r="J64" s="290">
        <f>+ROUND(+SUM(J59:J62),0)</f>
        <v>4291853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11794700</v>
      </c>
      <c r="P64" s="415">
        <f>+ROUND(+SUM(P59:P62),0)</f>
        <v>17585026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7425694</v>
      </c>
      <c r="G66" s="288">
        <v>15782836</v>
      </c>
      <c r="H66" s="15"/>
      <c r="I66" s="289"/>
      <c r="J66" s="288"/>
      <c r="K66" s="256"/>
      <c r="L66" s="289"/>
      <c r="M66" s="288"/>
      <c r="N66" s="256"/>
      <c r="O66" s="399">
        <f>+ROUND(+F66+I66+L66,0)</f>
        <v>7425694</v>
      </c>
      <c r="P66" s="392">
        <f>+ROUND(+G66+J66+M66,0)</f>
        <v>15782836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7425694</v>
      </c>
      <c r="G68" s="290">
        <f>+ROUND(+SUM(G66:G67),0)</f>
        <v>15782836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7425694</v>
      </c>
      <c r="P68" s="415">
        <f>+ROUND(+SUM(P66:P67),0)</f>
        <v>15782836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/>
      <c r="H70" s="15"/>
      <c r="I70" s="289"/>
      <c r="J70" s="288"/>
      <c r="K70" s="256"/>
      <c r="L70" s="289"/>
      <c r="M70" s="288"/>
      <c r="N70" s="256"/>
      <c r="O70" s="399">
        <f>+ROUND(+F70+I70+L70,0)</f>
        <v>0</v>
      </c>
      <c r="P70" s="392">
        <f>+ROUND(+G70+J70+M70,0)</f>
        <v>0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0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0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169166947</v>
      </c>
      <c r="G74" s="288">
        <v>188034420</v>
      </c>
      <c r="H74" s="15"/>
      <c r="I74" s="289">
        <v>2781</v>
      </c>
      <c r="J74" s="288"/>
      <c r="K74" s="256"/>
      <c r="L74" s="289"/>
      <c r="M74" s="288"/>
      <c r="N74" s="256"/>
      <c r="O74" s="399">
        <f>+ROUND(+F74+I74+L74,0)</f>
        <v>169169728</v>
      </c>
      <c r="P74" s="392">
        <f>+ROUND(+G74+J74+M74,0)</f>
        <v>188034420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>
        <v>-212096</v>
      </c>
      <c r="H75" s="15"/>
      <c r="I75" s="263"/>
      <c r="J75" s="262">
        <v>464242</v>
      </c>
      <c r="K75" s="256"/>
      <c r="L75" s="263"/>
      <c r="M75" s="262"/>
      <c r="N75" s="256"/>
      <c r="O75" s="394">
        <f>+ROUND(+F75+I75+L75,0)</f>
        <v>0</v>
      </c>
      <c r="P75" s="417">
        <f>+ROUND(+G75+J75+M75,0)</f>
        <v>252146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169166947</v>
      </c>
      <c r="G76" s="290">
        <f>+ROUND(+SUM(G74:G75),0)</f>
        <v>187822324</v>
      </c>
      <c r="H76" s="15"/>
      <c r="I76" s="291">
        <f>+ROUND(+SUM(I74:I75),0)</f>
        <v>2781</v>
      </c>
      <c r="J76" s="290">
        <f>+ROUND(+SUM(J74:J75),0)</f>
        <v>464242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169169728</v>
      </c>
      <c r="P76" s="415">
        <f>+ROUND(+SUM(P74:P75),0)</f>
        <v>188286566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218886544</v>
      </c>
      <c r="G78" s="301">
        <f>+ROUND(G57+G64+G68+G72+G76,0)</f>
        <v>280925012</v>
      </c>
      <c r="H78" s="15"/>
      <c r="I78" s="298">
        <f>+ROUND(I57+I64+I68+I72+I76,0)</f>
        <v>10259267</v>
      </c>
      <c r="J78" s="301">
        <f>+ROUND(J57+J64+J68+J72+J76,0)</f>
        <v>8962348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229145811</v>
      </c>
      <c r="P78" s="425">
        <f>+ROUND(P57+P64+P68+P72+P76,0)</f>
        <v>289887360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217342265</v>
      </c>
      <c r="G80" s="258">
        <v>434772793</v>
      </c>
      <c r="H80" s="15"/>
      <c r="I80" s="259">
        <f>1526982+8354583</f>
        <v>9881565</v>
      </c>
      <c r="J80" s="258">
        <v>9168333</v>
      </c>
      <c r="K80" s="256"/>
      <c r="L80" s="259"/>
      <c r="M80" s="258"/>
      <c r="N80" s="256"/>
      <c r="O80" s="398">
        <f>+ROUND(+F80+I80+L80,0)</f>
        <v>227223830</v>
      </c>
      <c r="P80" s="411">
        <f>+ROUND(+G80+J80+M80,0)</f>
        <v>443941126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-643530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-643530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217342265</v>
      </c>
      <c r="G82" s="299">
        <f>+ROUND(G80+G81,0)</f>
        <v>434772793</v>
      </c>
      <c r="H82" s="15"/>
      <c r="I82" s="300">
        <f>+ROUND(I80+I81,0)</f>
        <v>9881565</v>
      </c>
      <c r="J82" s="299">
        <f>+ROUND(J80+J81,0)</f>
        <v>8524803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227223830</v>
      </c>
      <c r="P82" s="420">
        <f>+ROUND(P80+P81,0)</f>
        <v>443297596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46954010</v>
      </c>
      <c r="G84" s="320">
        <f>+ROUND(G49,0)-ROUND(G78,0)+ROUND(G82,0)</f>
        <v>205405475</v>
      </c>
      <c r="H84" s="15"/>
      <c r="I84" s="321">
        <f>+ROUND(I49,0)-ROUND(I78,0)+ROUND(I82,0)</f>
        <v>-64860</v>
      </c>
      <c r="J84" s="320">
        <f>+ROUND(J49,0)-ROUND(J78,0)+ROUND(J82,0)</f>
        <v>1606087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46889150</v>
      </c>
      <c r="P84" s="422">
        <f>+ROUND(P49,0)-ROUND(P78,0)+ROUND(P82,0)</f>
        <v>207011562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-46954010</v>
      </c>
      <c r="G85" s="322">
        <f>+ROUND(G102,0)+ROUND(G121,0)+ROUND(G127,0)-ROUND(G132,0)</f>
        <v>-205405475</v>
      </c>
      <c r="H85" s="15"/>
      <c r="I85" s="323">
        <f>+ROUND(I102,0)+ROUND(I121,0)+ROUND(I127,0)-ROUND(I132,0)</f>
        <v>64860</v>
      </c>
      <c r="J85" s="322">
        <f>+ROUND(J102,0)+ROUND(J121,0)+ROUND(J127,0)-ROUND(J132,0)</f>
        <v>-1606087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-46889150</v>
      </c>
      <c r="P85" s="424">
        <f>+ROUND(P102,0)+ROUND(P121,0)+ROUND(P127,0)-ROUND(P132,0)</f>
        <v>-207011562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>
        <v>-62000000</v>
      </c>
      <c r="G92" s="258">
        <v>-208000000</v>
      </c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-62000000</v>
      </c>
      <c r="P92" s="411">
        <f t="shared" si="6"/>
        <v>-208000000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f>35000000+5340548</f>
        <v>40340548</v>
      </c>
      <c r="G93" s="262">
        <v>65687947</v>
      </c>
      <c r="H93" s="15"/>
      <c r="I93" s="263"/>
      <c r="J93" s="262"/>
      <c r="K93" s="256"/>
      <c r="L93" s="263"/>
      <c r="M93" s="262"/>
      <c r="N93" s="256"/>
      <c r="O93" s="394">
        <f t="shared" si="6"/>
        <v>40340548</v>
      </c>
      <c r="P93" s="417">
        <f t="shared" si="6"/>
        <v>65687947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-21659452</v>
      </c>
      <c r="G96" s="264">
        <f>+ROUND(+SUM(G92:G95),0)</f>
        <v>-142312053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-21659452</v>
      </c>
      <c r="P96" s="396">
        <f>+ROUND(+SUM(P92:P95),0)</f>
        <v>-142312053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44626</v>
      </c>
      <c r="G99" s="262">
        <v>32580</v>
      </c>
      <c r="H99" s="15"/>
      <c r="I99" s="263"/>
      <c r="J99" s="262"/>
      <c r="K99" s="256"/>
      <c r="L99" s="263"/>
      <c r="M99" s="262"/>
      <c r="N99" s="256"/>
      <c r="O99" s="394">
        <f>+ROUND(+F99+I99+L99,0)</f>
        <v>44626</v>
      </c>
      <c r="P99" s="417">
        <f>+ROUND(+G99+J99+M99,0)</f>
        <v>32580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44626</v>
      </c>
      <c r="G100" s="264">
        <f>+ROUND(+SUM(G98:G99),0)</f>
        <v>32580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44626</v>
      </c>
      <c r="P100" s="396">
        <f>+ROUND(+SUM(P98:P99),0)</f>
        <v>32580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-21614826</v>
      </c>
      <c r="G102" s="286">
        <f>+ROUND(G90+G96+G100,0)</f>
        <v>-142279473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-21614826</v>
      </c>
      <c r="P102" s="413">
        <f>+ROUND(P90+P96+P100,0)</f>
        <v>-142279473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-24243662</v>
      </c>
      <c r="G110" s="262">
        <v>-66289077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-24243662</v>
      </c>
      <c r="P110" s="417">
        <f>+ROUND(+G110+J110+M110,0)</f>
        <v>-66289077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-24243662</v>
      </c>
      <c r="G111" s="290">
        <f>+ROUND(+SUM(G109:G110),0)</f>
        <v>-66289077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-24243662</v>
      </c>
      <c r="P111" s="415">
        <f>+ROUND(+SUM(P109:P110),0)</f>
        <v>-66289077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-11964</v>
      </c>
      <c r="G117" s="288">
        <v>14325</v>
      </c>
      <c r="H117" s="15"/>
      <c r="I117" s="289"/>
      <c r="J117" s="288"/>
      <c r="K117" s="256"/>
      <c r="L117" s="289">
        <v>-163113</v>
      </c>
      <c r="M117" s="288">
        <v>-183451</v>
      </c>
      <c r="N117" s="256"/>
      <c r="O117" s="399">
        <f>+ROUND(+F117+I117+L117,0)</f>
        <v>-175077</v>
      </c>
      <c r="P117" s="392">
        <f>+ROUND(+G117+J117+M117,0)</f>
        <v>-169126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5980</v>
      </c>
      <c r="G118" s="262">
        <v>-2026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5980</v>
      </c>
      <c r="P118" s="417">
        <f>+ROUND(+G118+J118+M118,0)</f>
        <v>-2026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-5984</v>
      </c>
      <c r="G119" s="290">
        <f>+ROUND(+SUM(G117:G118),0)</f>
        <v>12299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-163113</v>
      </c>
      <c r="M119" s="290">
        <f>+ROUND(+SUM(M117:M118),0)</f>
        <v>-183451</v>
      </c>
      <c r="N119" s="256"/>
      <c r="O119" s="414">
        <f>+ROUND(+SUM(O117:O118),0)</f>
        <v>-169097</v>
      </c>
      <c r="P119" s="415">
        <f>+ROUND(+SUM(P117:P118),0)</f>
        <v>-171152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-24249646</v>
      </c>
      <c r="G121" s="301">
        <f>+ROUND(G107+G111+G115+G119,0)</f>
        <v>-66276778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-163113</v>
      </c>
      <c r="M121" s="301">
        <f>+ROUND(M107+M111+M115+M119,0)</f>
        <v>-183451</v>
      </c>
      <c r="N121" s="256"/>
      <c r="O121" s="418">
        <f>+ROUND(O107+O111+O115+O119,0)</f>
        <v>-24412759</v>
      </c>
      <c r="P121" s="425">
        <f>+ROUND(P107+P111+P115+P119,0)</f>
        <v>-66460229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134153</v>
      </c>
      <c r="G124" s="262">
        <v>2393123</v>
      </c>
      <c r="H124" s="15"/>
      <c r="I124" s="263">
        <f>-84653-49500</f>
        <v>-134153</v>
      </c>
      <c r="J124" s="262">
        <v>-1602906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790217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f>-199013-656420</f>
        <v>-855433</v>
      </c>
      <c r="G125" s="262">
        <v>-148815</v>
      </c>
      <c r="H125" s="15"/>
      <c r="I125" s="263">
        <f>6339+192674</f>
        <v>199013</v>
      </c>
      <c r="J125" s="262">
        <v>-3181</v>
      </c>
      <c r="K125" s="256"/>
      <c r="L125" s="263"/>
      <c r="M125" s="262">
        <v>-137402</v>
      </c>
      <c r="N125" s="256"/>
      <c r="O125" s="394">
        <f t="shared" si="7"/>
        <v>-656420</v>
      </c>
      <c r="P125" s="417">
        <f t="shared" si="7"/>
        <v>-289398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-721280</v>
      </c>
      <c r="G127" s="299">
        <f>+ROUND(+SUM(G123:G126),0)</f>
        <v>2244308</v>
      </c>
      <c r="H127" s="15"/>
      <c r="I127" s="300">
        <f>+ROUND(+SUM(I123:I126),0)</f>
        <v>64860</v>
      </c>
      <c r="J127" s="299">
        <f>+ROUND(+SUM(J123:J126),0)</f>
        <v>-1606087</v>
      </c>
      <c r="K127" s="256"/>
      <c r="L127" s="300">
        <f>+ROUND(+SUM(L123:L126),0)</f>
        <v>0</v>
      </c>
      <c r="M127" s="299">
        <f>+ROUND(+SUM(M123:M126),0)</f>
        <v>-137402</v>
      </c>
      <c r="N127" s="256"/>
      <c r="O127" s="419">
        <f>+ROUND(+SUM(O123:O126),0)</f>
        <v>-656420</v>
      </c>
      <c r="P127" s="420">
        <f>+ROUND(+SUM(P123:P126),0)</f>
        <v>500819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f>141004+15209</f>
        <v>156213</v>
      </c>
      <c r="G129" s="258">
        <v>1118061</v>
      </c>
      <c r="H129" s="15"/>
      <c r="I129" s="259">
        <v>45010</v>
      </c>
      <c r="J129" s="258">
        <v>44698</v>
      </c>
      <c r="K129" s="256"/>
      <c r="L129" s="259">
        <f>20284+222180+731990</f>
        <v>974454</v>
      </c>
      <c r="M129" s="258">
        <v>1295307</v>
      </c>
      <c r="N129" s="256"/>
      <c r="O129" s="398">
        <f aca="true" t="shared" si="8" ref="O129:P131">+ROUND(+F129+I129+L129,0)</f>
        <v>1175677</v>
      </c>
      <c r="P129" s="411">
        <f t="shared" si="8"/>
        <v>2458066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f>-7970</f>
        <v>-7970</v>
      </c>
      <c r="G130" s="262">
        <v>-55380</v>
      </c>
      <c r="H130" s="15"/>
      <c r="I130" s="263">
        <f>-2821</f>
        <v>-2821</v>
      </c>
      <c r="J130" s="262">
        <v>312</v>
      </c>
      <c r="K130" s="256"/>
      <c r="L130" s="263">
        <v>-1219</v>
      </c>
      <c r="M130" s="262"/>
      <c r="N130" s="256"/>
      <c r="O130" s="394">
        <f t="shared" si="8"/>
        <v>-12010</v>
      </c>
      <c r="P130" s="417">
        <f t="shared" si="8"/>
        <v>-55068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f>2180+345512+55212+62033+51564</f>
        <v>516501</v>
      </c>
      <c r="G131" s="262">
        <v>156213</v>
      </c>
      <c r="H131" s="15"/>
      <c r="I131" s="263">
        <v>42189</v>
      </c>
      <c r="J131" s="262">
        <v>45010</v>
      </c>
      <c r="K131" s="256"/>
      <c r="L131" s="263">
        <f>165572+644550</f>
        <v>810122</v>
      </c>
      <c r="M131" s="262">
        <v>974454</v>
      </c>
      <c r="N131" s="256"/>
      <c r="O131" s="394">
        <f t="shared" si="8"/>
        <v>1368812</v>
      </c>
      <c r="P131" s="417">
        <f t="shared" si="8"/>
        <v>1175677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368258</v>
      </c>
      <c r="G132" s="304">
        <f>+ROUND(+G131-G129-G130,0)</f>
        <v>-906468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-163113</v>
      </c>
      <c r="M132" s="304">
        <f>+ROUND(+M131-M129-M130,0)</f>
        <v>-320853</v>
      </c>
      <c r="N132" s="256"/>
      <c r="O132" s="428">
        <f>+ROUND(+O131-O129-O130,0)</f>
        <v>205145</v>
      </c>
      <c r="P132" s="429">
        <f>+ROUND(+P131-P129-P130,0)</f>
        <v>-1227321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25102017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353</v>
      </c>
      <c r="G141" s="645"/>
      <c r="H141" s="645"/>
      <c r="I141" s="646"/>
      <c r="J141" s="378"/>
      <c r="K141" s="16"/>
      <c r="L141" s="378" t="s">
        <v>250</v>
      </c>
      <c r="M141" s="644" t="s">
        <v>354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1.4960629921259843" bottom="0.1968503937007874" header="0.9448818897637796" footer="0.15748031496062992"/>
  <pageSetup horizontalDpi="600" verticalDpi="600" orientation="landscape" paperSize="9" scale="47" r:id="rId3"/>
  <headerFooter>
    <oddHeader>&amp;C&amp;"Times New Roman,Italic"&amp;10- &amp;P / &amp;N -</oddHeader>
  </headerFooter>
  <rowBreaks count="2" manualBreakCount="2">
    <brk id="57" min="1" max="19" man="1"/>
    <brk id="102" min="1" max="19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1 K112:L116 K148:L148 K29:L35 K142:L142 K96:L110 K132:L132 K128:L128 K24:L24 K61:L82 K144:L145 K143 N144:O145 N143 K53:L59 K52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0" sqref="F11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МТИТС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695388</v>
      </c>
      <c r="J1" s="668"/>
      <c r="K1" s="473"/>
      <c r="L1" s="474" t="s">
        <v>275</v>
      </c>
      <c r="M1" s="475">
        <f>+'Cash-Flow-2017-Leva'!M1</f>
        <v>2300</v>
      </c>
      <c r="N1" s="473"/>
      <c r="O1" s="474" t="s">
        <v>267</v>
      </c>
      <c r="P1" s="487">
        <f>+'Cash-Flow-2017-Leva'!P1</f>
        <v>29409459</v>
      </c>
      <c r="Q1" s="478"/>
      <c r="R1" s="482" t="s">
        <v>249</v>
      </c>
      <c r="S1" s="669">
        <f>+'Cash-Flow-2017-Leva'!$S$1</f>
        <v>2300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 t="str">
        <f>+'Cash-Flow-2017-Leva'!H3</f>
        <v>www.mtitc.government.bg</v>
      </c>
      <c r="I3" s="678"/>
      <c r="J3" s="678"/>
      <c r="K3" s="679"/>
      <c r="L3" s="51" t="s">
        <v>276</v>
      </c>
      <c r="M3" s="680" t="str">
        <f>+'Cash-Flow-2017-Leva'!M3:P3</f>
        <v>mdimova@mtitc.government.bg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МТИТС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30.09.2017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30.09.2017 г.</v>
      </c>
      <c r="G11" s="430">
        <f>+'Cash-Flow-2017-Leva'!G11</f>
        <v>2016</v>
      </c>
      <c r="H11" s="5"/>
      <c r="I11" s="130" t="str">
        <f>+O8</f>
        <v>30.09.2017 г.</v>
      </c>
      <c r="J11" s="431">
        <f>+'Cash-Flow-2017-Leva'!J11</f>
        <v>2016</v>
      </c>
      <c r="K11" s="5"/>
      <c r="L11" s="128" t="str">
        <f>+O8</f>
        <v>30.09.2017 г.</v>
      </c>
      <c r="M11" s="432">
        <f>+'Cash-Flow-2017-Leva'!M11</f>
        <v>2016</v>
      </c>
      <c r="N11" s="511"/>
      <c r="O11" s="386" t="str">
        <f>+O8</f>
        <v>30.09.2017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14203.025</v>
      </c>
      <c r="G16" s="307">
        <f>+'Cash-Flow-2017-Leva'!G16/1000</f>
        <v>19468.738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14203.025</v>
      </c>
      <c r="P16" s="446">
        <f t="shared" si="1"/>
        <v>19468.738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3281.783</v>
      </c>
      <c r="G17" s="307">
        <f>+'Cash-Flow-2017-Leva'!G17/1000</f>
        <v>3939.73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3281.783</v>
      </c>
      <c r="P17" s="446">
        <f t="shared" si="1"/>
        <v>3939.73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63.131</v>
      </c>
      <c r="G18" s="307">
        <f>+'Cash-Flow-2017-Leva'!G18/1000</f>
        <v>131.619</v>
      </c>
      <c r="H18" s="306"/>
      <c r="I18" s="308">
        <f>+'Cash-Flow-2017-Leva'!I18/1000</f>
        <v>4.401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67.532</v>
      </c>
      <c r="P18" s="446">
        <f t="shared" si="1"/>
        <v>131.619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293.014</v>
      </c>
      <c r="G19" s="307">
        <f>+'Cash-Flow-2017-Leva'!G19/1000</f>
        <v>355.786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293.014</v>
      </c>
      <c r="P19" s="446">
        <f t="shared" si="1"/>
        <v>355.786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36778.396</v>
      </c>
      <c r="G20" s="307">
        <f>+'Cash-Flow-2017-Leva'!G20/1000</f>
        <v>33619.891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36778.396</v>
      </c>
      <c r="P20" s="446">
        <f t="shared" si="1"/>
        <v>33619.891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1601.059</v>
      </c>
      <c r="G21" s="307">
        <f>+'Cash-Flow-2017-Leva'!G21/1000</f>
        <v>4154.301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1601.059</v>
      </c>
      <c r="P21" s="446">
        <f t="shared" si="1"/>
        <v>4154.301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64.515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64.515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51.011</v>
      </c>
      <c r="G23" s="296">
        <f>+'Cash-Flow-2017-Leva'!G23/1000</f>
        <v>282.89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51.011</v>
      </c>
      <c r="P23" s="417">
        <f t="shared" si="1"/>
        <v>282.89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56271.419</v>
      </c>
      <c r="G24" s="264">
        <f>+SUM(G15:G23)</f>
        <v>62017.47</v>
      </c>
      <c r="H24" s="306"/>
      <c r="I24" s="265">
        <f>+SUM(I15:I23)</f>
        <v>4.401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56275.82</v>
      </c>
      <c r="P24" s="396">
        <f>+SUM(P15:P23)</f>
        <v>62017.47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887.304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887.304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12.216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12.216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887.304</v>
      </c>
      <c r="G29" s="264">
        <f>+SUM(G26:G28)</f>
        <v>12.216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887.304</v>
      </c>
      <c r="P29" s="396">
        <f>+SUM(P26:P28)</f>
        <v>12.216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-8664.692</v>
      </c>
      <c r="G36" s="264">
        <f>+'Cash-Flow-2017-Leva'!G36/1000</f>
        <v>-10033.787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-8664.692</v>
      </c>
      <c r="P36" s="396">
        <f t="shared" si="3"/>
        <v>-10033.787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-6847.559</v>
      </c>
      <c r="G37" s="309">
        <f>+'Cash-Flow-2017-Leva'!G37/1000</f>
        <v>-6217.789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-6847.559</v>
      </c>
      <c r="P37" s="447">
        <f t="shared" si="3"/>
        <v>-6217.789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-811.541</v>
      </c>
      <c r="G38" s="311">
        <f>+'Cash-Flow-2017-Leva'!G38/1000</f>
        <v>-2514.766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-811.541</v>
      </c>
      <c r="P38" s="448">
        <f t="shared" si="3"/>
        <v>-2514.766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6.559</v>
      </c>
      <c r="G41" s="264">
        <f>+'Cash-Flow-2017-Leva'!G41/1000</f>
        <v>9.024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6.559</v>
      </c>
      <c r="P41" s="396">
        <f>+G41+J41+M41</f>
        <v>9.024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-2.301</v>
      </c>
      <c r="G43" s="284">
        <f>+'Cash-Flow-2017-Leva'!G43/1000</f>
        <v>-449.229</v>
      </c>
      <c r="H43" s="306"/>
      <c r="I43" s="285">
        <f>+'Cash-Flow-2017-Leva'!I43/1000</f>
        <v>308.441</v>
      </c>
      <c r="J43" s="284">
        <f>+'Cash-Flow-2017-Leva'!J43/1000</f>
        <v>2043.632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306.14</v>
      </c>
      <c r="P43" s="411">
        <f t="shared" si="4"/>
        <v>1594.403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-2.301</v>
      </c>
      <c r="G47" s="264">
        <f>+SUM(G43:G46)</f>
        <v>-447.229</v>
      </c>
      <c r="H47" s="306"/>
      <c r="I47" s="265">
        <f>+SUM(I43:I46)</f>
        <v>308.441</v>
      </c>
      <c r="J47" s="264">
        <f>+SUM(J43:J46)</f>
        <v>2043.632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306.14</v>
      </c>
      <c r="P47" s="396">
        <f>+SUM(P43:P46)</f>
        <v>1596.403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48498.289000000004</v>
      </c>
      <c r="G49" s="286">
        <f>+G24+G29+G36+G41+G47</f>
        <v>51557.694</v>
      </c>
      <c r="H49" s="306"/>
      <c r="I49" s="287">
        <f>+I24+I29+I36+I41+I47</f>
        <v>312.842</v>
      </c>
      <c r="J49" s="286">
        <f>+J24+J29+J36+J41+J47</f>
        <v>2043.632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48811.131</v>
      </c>
      <c r="P49" s="413">
        <f>+P24+P29+P36+P41+P47</f>
        <v>53601.326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12416.807</v>
      </c>
      <c r="G52" s="257">
        <f>+'Cash-Flow-2017-Leva'!G52/1000</f>
        <v>27162.25</v>
      </c>
      <c r="H52" s="306"/>
      <c r="I52" s="267">
        <f>+'Cash-Flow-2017-Leva'!I52/1000</f>
        <v>3037.833</v>
      </c>
      <c r="J52" s="257">
        <f>+'Cash-Flow-2017-Leva'!J52/1000</f>
        <v>1712.905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15454.640000000001</v>
      </c>
      <c r="P52" s="392">
        <f t="shared" si="5"/>
        <v>28875.155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231.869</v>
      </c>
      <c r="G53" s="296">
        <f>+'Cash-Flow-2017-Leva'!G53/1000</f>
        <v>934.762</v>
      </c>
      <c r="H53" s="306"/>
      <c r="I53" s="297">
        <f>+'Cash-Flow-2017-Leva'!I53/1000</f>
        <v>0.179</v>
      </c>
      <c r="J53" s="296">
        <f>+'Cash-Flow-2017-Leva'!J53/1000</f>
        <v>0.075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232.048</v>
      </c>
      <c r="P53" s="417">
        <f t="shared" si="5"/>
        <v>934.837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283.267</v>
      </c>
      <c r="G54" s="296">
        <f>+'Cash-Flow-2017-Leva'!G54/1000</f>
        <v>502.33</v>
      </c>
      <c r="H54" s="306"/>
      <c r="I54" s="297">
        <f>+'Cash-Flow-2017-Leva'!I54/1000</f>
        <v>0.38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283.647</v>
      </c>
      <c r="P54" s="417">
        <f t="shared" si="5"/>
        <v>502.33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18510.284</v>
      </c>
      <c r="G55" s="296">
        <f>+'Cash-Flow-2017-Leva'!G55/1000</f>
        <v>28641.466</v>
      </c>
      <c r="H55" s="306"/>
      <c r="I55" s="297">
        <f>+'Cash-Flow-2017-Leva'!I55/1000</f>
        <v>1413.26</v>
      </c>
      <c r="J55" s="296">
        <f>+'Cash-Flow-2017-Leva'!J55/1000</f>
        <v>2003.319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19923.543999999998</v>
      </c>
      <c r="P55" s="417">
        <f t="shared" si="5"/>
        <v>30644.785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4491.543</v>
      </c>
      <c r="G56" s="296">
        <f>+'Cash-Flow-2017-Leva'!G56/1000</f>
        <v>6785.871</v>
      </c>
      <c r="H56" s="306"/>
      <c r="I56" s="297">
        <f>+'Cash-Flow-2017-Leva'!I56/1000</f>
        <v>370.267</v>
      </c>
      <c r="J56" s="296">
        <f>+'Cash-Flow-2017-Leva'!J56/1000</f>
        <v>489.954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4861.8099999999995</v>
      </c>
      <c r="P56" s="417">
        <f t="shared" si="5"/>
        <v>7275.825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35933.77</v>
      </c>
      <c r="G57" s="290">
        <f>+SUM(G52:G56)</f>
        <v>64026.679000000004</v>
      </c>
      <c r="H57" s="306"/>
      <c r="I57" s="291">
        <f>+SUM(I52:I56)</f>
        <v>4821.919</v>
      </c>
      <c r="J57" s="290">
        <f>+SUM(J52:J56)</f>
        <v>4206.253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40755.689</v>
      </c>
      <c r="P57" s="415">
        <f>+SUM(P52:P56)</f>
        <v>68232.932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6243.612</v>
      </c>
      <c r="G60" s="296">
        <f>+'Cash-Flow-2017-Leva'!G60/1000</f>
        <v>12630.883</v>
      </c>
      <c r="H60" s="306"/>
      <c r="I60" s="297">
        <f>+'Cash-Flow-2017-Leva'!I60/1000</f>
        <v>5369.554</v>
      </c>
      <c r="J60" s="296">
        <f>+'Cash-Flow-2017-Leva'!J60/1000</f>
        <v>4291.853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11613.166000000001</v>
      </c>
      <c r="P60" s="417">
        <f t="shared" si="6"/>
        <v>16922.736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116.521</v>
      </c>
      <c r="G61" s="296">
        <f>+'Cash-Flow-2017-Leva'!G61/1000</f>
        <v>662.29</v>
      </c>
      <c r="H61" s="306"/>
      <c r="I61" s="297">
        <f>+'Cash-Flow-2017-Leva'!I61/1000</f>
        <v>65.013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181.534</v>
      </c>
      <c r="P61" s="417">
        <f t="shared" si="6"/>
        <v>662.29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6360.133</v>
      </c>
      <c r="G64" s="290">
        <f>+SUM(G59:G62)</f>
        <v>13293.172999999999</v>
      </c>
      <c r="H64" s="306"/>
      <c r="I64" s="291">
        <f>+SUM(I59:I62)</f>
        <v>5434.567</v>
      </c>
      <c r="J64" s="290">
        <f>+SUM(J59:J62)</f>
        <v>4291.853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11794.7</v>
      </c>
      <c r="P64" s="415">
        <f>+SUM(P59:P62)</f>
        <v>17585.026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7425.694</v>
      </c>
      <c r="G66" s="257">
        <f>+'Cash-Flow-2017-Leva'!G66/1000</f>
        <v>15782.836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7425.694</v>
      </c>
      <c r="P66" s="392">
        <f>+G66+J66+M66</f>
        <v>15782.836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7425.694</v>
      </c>
      <c r="G68" s="290">
        <f>+SUM(G66:G67)</f>
        <v>15782.836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7425.694</v>
      </c>
      <c r="P68" s="415">
        <f>+SUM(P66:P67)</f>
        <v>15782.836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0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0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0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0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169166.947</v>
      </c>
      <c r="G74" s="257">
        <f>+'Cash-Flow-2017-Leva'!G74/1000</f>
        <v>188034.42</v>
      </c>
      <c r="H74" s="306"/>
      <c r="I74" s="267">
        <f>+'Cash-Flow-2017-Leva'!I74/1000</f>
        <v>2.781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169169.72799999997</v>
      </c>
      <c r="P74" s="392">
        <f>+G74+J74+M74</f>
        <v>188034.42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-212.096</v>
      </c>
      <c r="H75" s="306"/>
      <c r="I75" s="297">
        <f>+'Cash-Flow-2017-Leva'!I75/1000</f>
        <v>0</v>
      </c>
      <c r="J75" s="296">
        <f>+'Cash-Flow-2017-Leva'!J75/1000</f>
        <v>464.242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252.14600000000002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169166.947</v>
      </c>
      <c r="G76" s="290">
        <f>+SUM(G74:G75)</f>
        <v>187822.32400000002</v>
      </c>
      <c r="H76" s="306"/>
      <c r="I76" s="291">
        <f>+SUM(I74:I75)</f>
        <v>2.781</v>
      </c>
      <c r="J76" s="290">
        <f>+SUM(J74:J75)</f>
        <v>464.242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169169.72799999997</v>
      </c>
      <c r="P76" s="415">
        <f>+SUM(P74:P75)</f>
        <v>188286.56600000002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218886.544</v>
      </c>
      <c r="G78" s="301">
        <f>+G57+G64+G68+G72+G76</f>
        <v>280925.012</v>
      </c>
      <c r="H78" s="306"/>
      <c r="I78" s="298">
        <f>+I57+I64+I68+I72+I76</f>
        <v>10259.267000000002</v>
      </c>
      <c r="J78" s="301">
        <f>+J57+J64+J68+J72+J76</f>
        <v>8962.348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229145.811</v>
      </c>
      <c r="P78" s="425">
        <f>+P57+P64+P68+P72+P76</f>
        <v>289887.36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217342.265</v>
      </c>
      <c r="G80" s="284">
        <f>+'Cash-Flow-2017-Leva'!G80/1000</f>
        <v>434772.793</v>
      </c>
      <c r="H80" s="306"/>
      <c r="I80" s="285">
        <f>+'Cash-Flow-2017-Leva'!I80/1000</f>
        <v>9881.565</v>
      </c>
      <c r="J80" s="284">
        <f>+'Cash-Flow-2017-Leva'!J80/1000</f>
        <v>9168.333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227223.83000000002</v>
      </c>
      <c r="P80" s="411">
        <f>+G80+J80+M80</f>
        <v>443941.126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-643.53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-643.53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217342.265</v>
      </c>
      <c r="G82" s="299">
        <f>+G80+G81</f>
        <v>434772.793</v>
      </c>
      <c r="H82" s="306"/>
      <c r="I82" s="300">
        <f>+I80+I81</f>
        <v>9881.565</v>
      </c>
      <c r="J82" s="299">
        <f>+J80+J81</f>
        <v>8524.803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227223.83000000002</v>
      </c>
      <c r="P82" s="420">
        <f>+P80+P81</f>
        <v>443297.59599999996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46954.01000000001</v>
      </c>
      <c r="G84" s="320">
        <f>+G49-G78+G82</f>
        <v>205405.47500000003</v>
      </c>
      <c r="H84" s="306"/>
      <c r="I84" s="321">
        <f>+I49-I78+I82</f>
        <v>-64.86000000000058</v>
      </c>
      <c r="J84" s="320">
        <f>+J49-J78+J82</f>
        <v>1606.0869999999995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46889.15000000002</v>
      </c>
      <c r="P84" s="422">
        <f>+P49-P78+P82</f>
        <v>207011.56199999998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-46954.009999999995</v>
      </c>
      <c r="G85" s="322">
        <f>+G102+G121+G127-G132</f>
        <v>-205405.47500000006</v>
      </c>
      <c r="H85" s="306"/>
      <c r="I85" s="323">
        <f>+I102+I121+I127-I132</f>
        <v>64.86000000000001</v>
      </c>
      <c r="J85" s="322">
        <f>+J102+J121+J127-J132</f>
        <v>-1606.087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-46889.149999999994</v>
      </c>
      <c r="P85" s="424">
        <f>+P102+P121+P127-P132</f>
        <v>-207011.56200000006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-62000</v>
      </c>
      <c r="G92" s="284">
        <f>+'Cash-Flow-2017-Leva'!G92/1000</f>
        <v>-208000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-62000</v>
      </c>
      <c r="P92" s="411">
        <f t="shared" si="7"/>
        <v>-208000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40340.548</v>
      </c>
      <c r="G93" s="296">
        <f>+'Cash-Flow-2017-Leva'!G93/1000</f>
        <v>65687.947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40340.548</v>
      </c>
      <c r="P93" s="417">
        <f t="shared" si="7"/>
        <v>65687.947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-21659.451999999997</v>
      </c>
      <c r="G96" s="264">
        <f>+SUM(G92:G95)</f>
        <v>-142312.053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-21659.451999999997</v>
      </c>
      <c r="P96" s="396">
        <f>+SUM(P92:P95)</f>
        <v>-142312.053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44.626</v>
      </c>
      <c r="G99" s="296">
        <f>+'Cash-Flow-2017-Leva'!G99/1000</f>
        <v>32.58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44.626</v>
      </c>
      <c r="P99" s="417">
        <f>+G99+J99+M99</f>
        <v>32.58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44.626</v>
      </c>
      <c r="G100" s="264">
        <f>+SUM(G98:G99)</f>
        <v>32.58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44.626</v>
      </c>
      <c r="P100" s="396">
        <f>+SUM(P98:P99)</f>
        <v>32.58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-21614.825999999997</v>
      </c>
      <c r="G102" s="286">
        <f>+G90+G96+G100</f>
        <v>-142279.47300000003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-21614.825999999997</v>
      </c>
      <c r="P102" s="413">
        <f>+P90+P96+P100</f>
        <v>-142279.47300000003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-24243.662</v>
      </c>
      <c r="G110" s="296">
        <f>+'Cash-Flow-2017-Leva'!G110/1000</f>
        <v>-66289.077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-24243.662</v>
      </c>
      <c r="P110" s="417">
        <f>+G110+J110+M110</f>
        <v>-66289.077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-24243.662</v>
      </c>
      <c r="G111" s="290">
        <f>+SUM(G109:G110)</f>
        <v>-66289.077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-24243.662</v>
      </c>
      <c r="P111" s="415">
        <f>+SUM(P109:P110)</f>
        <v>-66289.077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-11.964</v>
      </c>
      <c r="G117" s="257">
        <f>+'Cash-Flow-2017-Leva'!G117/1000</f>
        <v>14.325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-163.113</v>
      </c>
      <c r="M117" s="257">
        <f>+'Cash-Flow-2017-Leva'!M117/1000</f>
        <v>-183.451</v>
      </c>
      <c r="N117" s="512"/>
      <c r="O117" s="399">
        <f>+F117+I117+L117</f>
        <v>-175.077</v>
      </c>
      <c r="P117" s="392">
        <f>+G117+J117+M117</f>
        <v>-169.126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5.98</v>
      </c>
      <c r="G118" s="296">
        <f>+'Cash-Flow-2017-Leva'!G118/1000</f>
        <v>-2.026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5.98</v>
      </c>
      <c r="P118" s="417">
        <f>+G118+J118+M118</f>
        <v>-2.026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-5.984</v>
      </c>
      <c r="G119" s="290">
        <f>+SUM(G117:G118)</f>
        <v>12.299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-163.113</v>
      </c>
      <c r="M119" s="290">
        <f>+SUM(M117:M118)</f>
        <v>-183.451</v>
      </c>
      <c r="N119" s="512"/>
      <c r="O119" s="414">
        <f>+SUM(O117:O118)</f>
        <v>-169.097</v>
      </c>
      <c r="P119" s="415">
        <f>+SUM(P117:P118)</f>
        <v>-171.15200000000002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-24249.646</v>
      </c>
      <c r="G121" s="301">
        <f>+G107+G111+G115+G119</f>
        <v>-66276.778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-163.113</v>
      </c>
      <c r="M121" s="301">
        <f>+M107+M111+M115+M119</f>
        <v>-183.451</v>
      </c>
      <c r="N121" s="512"/>
      <c r="O121" s="418">
        <f>+O107+O111+O115+O119</f>
        <v>-24412.759000000002</v>
      </c>
      <c r="P121" s="425">
        <f>+P107+P111+P115+P119</f>
        <v>-66460.229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134.153</v>
      </c>
      <c r="G124" s="296">
        <f>+'Cash-Flow-2017-Leva'!G124/1000</f>
        <v>2393.123</v>
      </c>
      <c r="H124" s="306"/>
      <c r="I124" s="297">
        <f>+'Cash-Flow-2017-Leva'!I124/1000</f>
        <v>-134.153</v>
      </c>
      <c r="J124" s="296">
        <f>+'Cash-Flow-2017-Leva'!J124/1000</f>
        <v>-1602.906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790.2170000000001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-855.433</v>
      </c>
      <c r="G125" s="296">
        <f>+'Cash-Flow-2017-Leva'!G125/1000</f>
        <v>-148.815</v>
      </c>
      <c r="H125" s="306"/>
      <c r="I125" s="297">
        <f>+'Cash-Flow-2017-Leva'!I125/1000</f>
        <v>199.013</v>
      </c>
      <c r="J125" s="296">
        <f>+'Cash-Flow-2017-Leva'!J125/1000</f>
        <v>-3.181</v>
      </c>
      <c r="K125" s="306"/>
      <c r="L125" s="297">
        <f>+'Cash-Flow-2017-Leva'!L125/1000</f>
        <v>0</v>
      </c>
      <c r="M125" s="296">
        <f>+'Cash-Flow-2017-Leva'!M125/1000</f>
        <v>-137.402</v>
      </c>
      <c r="N125" s="512"/>
      <c r="O125" s="394">
        <f t="shared" si="8"/>
        <v>-656.42</v>
      </c>
      <c r="P125" s="417">
        <f t="shared" si="8"/>
        <v>-289.398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-721.28</v>
      </c>
      <c r="G127" s="299">
        <f>+SUM(G123:G126)</f>
        <v>2244.308</v>
      </c>
      <c r="H127" s="306"/>
      <c r="I127" s="300">
        <f>+SUM(I123:I126)</f>
        <v>64.86000000000001</v>
      </c>
      <c r="J127" s="299">
        <f>+SUM(J123:J126)</f>
        <v>-1606.087</v>
      </c>
      <c r="K127" s="306"/>
      <c r="L127" s="300">
        <f>+SUM(L123:L126)</f>
        <v>0</v>
      </c>
      <c r="M127" s="299">
        <f>+SUM(M123:M126)</f>
        <v>-137.402</v>
      </c>
      <c r="N127" s="512"/>
      <c r="O127" s="419">
        <f>+SUM(O123:O126)</f>
        <v>-656.42</v>
      </c>
      <c r="P127" s="420">
        <f>+SUM(P123:P126)</f>
        <v>500.8190000000001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156.213</v>
      </c>
      <c r="G129" s="284">
        <f>+'Cash-Flow-2017-Leva'!G129/1000</f>
        <v>1118.061</v>
      </c>
      <c r="H129" s="306"/>
      <c r="I129" s="285">
        <f>+'Cash-Flow-2017-Leva'!I129/1000</f>
        <v>45.01</v>
      </c>
      <c r="J129" s="284">
        <f>+'Cash-Flow-2017-Leva'!J129/1000</f>
        <v>44.698</v>
      </c>
      <c r="K129" s="306"/>
      <c r="L129" s="285">
        <f>+'Cash-Flow-2017-Leva'!L129/1000</f>
        <v>974.454</v>
      </c>
      <c r="M129" s="284">
        <f>+'Cash-Flow-2017-Leva'!M129/1000</f>
        <v>1295.307</v>
      </c>
      <c r="N129" s="512"/>
      <c r="O129" s="398">
        <f aca="true" t="shared" si="9" ref="O129:P131">+F129+I129+L129</f>
        <v>1175.677</v>
      </c>
      <c r="P129" s="411">
        <f t="shared" si="9"/>
        <v>2458.066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-7.97</v>
      </c>
      <c r="G130" s="296">
        <f>+'Cash-Flow-2017-Leva'!G130/1000</f>
        <v>-55.38</v>
      </c>
      <c r="H130" s="306"/>
      <c r="I130" s="297">
        <f>+'Cash-Flow-2017-Leva'!I130/1000</f>
        <v>-2.821</v>
      </c>
      <c r="J130" s="296">
        <f>+'Cash-Flow-2017-Leva'!J130/1000</f>
        <v>0.312</v>
      </c>
      <c r="K130" s="306"/>
      <c r="L130" s="297">
        <f>+'Cash-Flow-2017-Leva'!L130/1000</f>
        <v>-1.219</v>
      </c>
      <c r="M130" s="296">
        <f>+'Cash-Flow-2017-Leva'!M130/1000</f>
        <v>0</v>
      </c>
      <c r="N130" s="512"/>
      <c r="O130" s="394">
        <f t="shared" si="9"/>
        <v>-12.01</v>
      </c>
      <c r="P130" s="417">
        <f t="shared" si="9"/>
        <v>-55.068000000000005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516.501</v>
      </c>
      <c r="G131" s="296">
        <f>+'Cash-Flow-2017-Leva'!G131/1000</f>
        <v>156.213</v>
      </c>
      <c r="H131" s="306"/>
      <c r="I131" s="297">
        <f>+'Cash-Flow-2017-Leva'!I131/1000</f>
        <v>42.189</v>
      </c>
      <c r="J131" s="296">
        <f>+'Cash-Flow-2017-Leva'!J131/1000</f>
        <v>45.01</v>
      </c>
      <c r="K131" s="306"/>
      <c r="L131" s="297">
        <f>+'Cash-Flow-2017-Leva'!L131/1000</f>
        <v>810.122</v>
      </c>
      <c r="M131" s="296">
        <f>+'Cash-Flow-2017-Leva'!M131/1000</f>
        <v>974.454</v>
      </c>
      <c r="N131" s="512"/>
      <c r="O131" s="394">
        <f t="shared" si="9"/>
        <v>1368.812</v>
      </c>
      <c r="P131" s="417">
        <f t="shared" si="9"/>
        <v>1175.677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368.25800000000004</v>
      </c>
      <c r="G132" s="304">
        <f>+G131-G129-G130</f>
        <v>-906.468</v>
      </c>
      <c r="H132" s="306"/>
      <c r="I132" s="305">
        <f>+I131-I129-I130</f>
        <v>0</v>
      </c>
      <c r="J132" s="304">
        <f>+J131-J129-J130</f>
        <v>-2.3869795029440866E-15</v>
      </c>
      <c r="K132" s="306"/>
      <c r="L132" s="305">
        <f>+L131-L129-L130</f>
        <v>-163.113</v>
      </c>
      <c r="M132" s="304">
        <f>+M131-M129-M130</f>
        <v>-320.85300000000007</v>
      </c>
      <c r="N132" s="512"/>
      <c r="O132" s="428">
        <f>+O131-O129-O130</f>
        <v>205.14499999999998</v>
      </c>
      <c r="P132" s="429">
        <f>+P131-P129-P130</f>
        <v>-1227.321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25102017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Mariana Dimova</cp:lastModifiedBy>
  <cp:lastPrinted>2017-10-25T11:23:33Z</cp:lastPrinted>
  <dcterms:created xsi:type="dcterms:W3CDTF">2015-12-01T07:17:04Z</dcterms:created>
  <dcterms:modified xsi:type="dcterms:W3CDTF">2017-10-25T11:46:06Z</dcterms:modified>
  <cp:category/>
  <cp:version/>
  <cp:contentType/>
  <cp:contentStatus/>
</cp:coreProperties>
</file>